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xml"/>
  <Override PartName="/xl/comments2.xml" ContentType="application/vnd.openxmlformats-officedocument.spreadsheetml.comments+xml"/>
  <Override PartName="/xl/charts/chart3.xml" ContentType="application/vnd.openxmlformats-officedocument.drawingml.chart+xml"/>
  <Override PartName="/xl/charts/chart4.xml" ContentType="application/vnd.openxmlformats-officedocument.drawingml.chart+xml"/>
  <Override PartName="/xl/drawings/drawing3.xml" ContentType="application/vnd.openxmlformats-officedocument.drawing+xml"/>
  <Override PartName="/xl/comments3.xml" ContentType="application/vnd.openxmlformats-officedocument.spreadsheetml.comments+xml"/>
  <Override PartName="/xl/charts/chart5.xml" ContentType="application/vnd.openxmlformats-officedocument.drawingml.chart+xml"/>
  <Override PartName="/xl/charts/chart6.xml" ContentType="application/vnd.openxmlformats-officedocument.drawingml.chart+xml"/>
  <Override PartName="/xl/drawings/drawing4.xml" ContentType="application/vnd.openxmlformats-officedocument.drawing+xml"/>
  <Override PartName="/xl/comments4.xml" ContentType="application/vnd.openxmlformats-officedocument.spreadsheetml.comments+xml"/>
  <Override PartName="/xl/charts/chart7.xml" ContentType="application/vnd.openxmlformats-officedocument.drawingml.chart+xml"/>
  <Override PartName="/xl/charts/chart8.xml" ContentType="application/vnd.openxmlformats-officedocument.drawingml.chart+xml"/>
  <Override PartName="/xl/drawings/drawing5.xml" ContentType="application/vnd.openxmlformats-officedocument.drawing+xml"/>
  <Override PartName="/xl/comments5.xml" ContentType="application/vnd.openxmlformats-officedocument.spreadsheetml.comments+xml"/>
  <Override PartName="/xl/charts/chart9.xml" ContentType="application/vnd.openxmlformats-officedocument.drawingml.chart+xml"/>
  <Override PartName="/xl/charts/chart10.xml" ContentType="application/vnd.openxmlformats-officedocument.drawingml.chart+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https://d.docs.live.net/d7a4c8de5a56b36d/Documents/Calibration/Noise Calculators/"/>
    </mc:Choice>
  </mc:AlternateContent>
  <xr:revisionPtr revIDLastSave="97" documentId="8_{8AC31DEB-6A4D-49C6-9808-F222B378B04E}" xr6:coauthVersionLast="47" xr6:coauthVersionMax="47" xr10:uidLastSave="{4B14149D-6A79-4AF4-8CF9-85548E6EA620}"/>
  <bookViews>
    <workbookView xWindow="1125" yWindow="450" windowWidth="18075" windowHeight="14850" xr2:uid="{00000000-000D-0000-FFFF-FFFF00000000}"/>
  </bookViews>
  <sheets>
    <sheet name="Calculator" sheetId="1" r:id="rId1"/>
    <sheet name="4k" sheetId="4" state="hidden" r:id="rId2"/>
    <sheet name="2k" sheetId="8" state="hidden" r:id="rId3"/>
    <sheet name="1k" sheetId="9" state="hidden" r:id="rId4"/>
    <sheet name="500" sheetId="10" state="hidden" r:id="rId5"/>
    <sheet name="Notes" sheetId="3" r:id="rId6"/>
    <sheet name="Data" sheetId="2" r:id="rId7"/>
  </sheets>
  <definedNames>
    <definedName name="_xlnm.Print_Area" localSheetId="0">Calculator!$A$1:$L$31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5" i="1" l="1"/>
  <c r="C17" i="10" l="1"/>
  <c r="D28" i="1" l="1"/>
  <c r="C9" i="4" l="1"/>
  <c r="C9" i="10"/>
  <c r="C9" i="9"/>
  <c r="C9" i="8"/>
  <c r="C17" i="9" l="1"/>
  <c r="C17" i="8"/>
  <c r="C17" i="4"/>
  <c r="M6" i="1" l="1"/>
  <c r="B20" i="4" l="1"/>
  <c r="C16" i="10"/>
  <c r="C15" i="10"/>
  <c r="E20" i="10" s="1"/>
  <c r="C14" i="10"/>
  <c r="C13" i="10"/>
  <c r="D28" i="10" s="1"/>
  <c r="C11" i="10"/>
  <c r="C10" i="10"/>
  <c r="M6" i="10"/>
  <c r="C16" i="9"/>
  <c r="C15" i="9"/>
  <c r="E20" i="9" s="1"/>
  <c r="C14" i="9"/>
  <c r="C13" i="9"/>
  <c r="D28" i="9" s="1"/>
  <c r="C11" i="9"/>
  <c r="C10" i="9"/>
  <c r="M6" i="9"/>
  <c r="C16" i="8"/>
  <c r="C15" i="8"/>
  <c r="E20" i="8" s="1"/>
  <c r="C14" i="8"/>
  <c r="C13" i="8"/>
  <c r="D28" i="8" s="1"/>
  <c r="C11" i="8"/>
  <c r="C10" i="8"/>
  <c r="M6" i="8"/>
  <c r="C16" i="4"/>
  <c r="C15" i="4"/>
  <c r="D25" i="4" s="1"/>
  <c r="C14" i="4"/>
  <c r="C13" i="4"/>
  <c r="D28" i="4" s="1"/>
  <c r="C11" i="4"/>
  <c r="C10" i="4"/>
  <c r="M6" i="4"/>
  <c r="AG12" i="2"/>
  <c r="AG11" i="2"/>
  <c r="AG10" i="2"/>
  <c r="AG9" i="2"/>
  <c r="AG8" i="2"/>
  <c r="AG7" i="2"/>
  <c r="AG6" i="2"/>
  <c r="AG5" i="2"/>
  <c r="AG4" i="2"/>
  <c r="AG3" i="2"/>
  <c r="AD12" i="2"/>
  <c r="AD11" i="2"/>
  <c r="AD10" i="2"/>
  <c r="AD9" i="2"/>
  <c r="AD8" i="2"/>
  <c r="AD7" i="2"/>
  <c r="AD6" i="2"/>
  <c r="AD5" i="2"/>
  <c r="AD4" i="2"/>
  <c r="AD3" i="2"/>
  <c r="H12" i="2"/>
  <c r="H11" i="2"/>
  <c r="H10" i="2"/>
  <c r="H9" i="2"/>
  <c r="H8" i="2"/>
  <c r="H7" i="2"/>
  <c r="H6" i="2"/>
  <c r="H5" i="2"/>
  <c r="H4" i="2"/>
  <c r="H3" i="2"/>
  <c r="E12" i="2"/>
  <c r="E11" i="2"/>
  <c r="E10" i="2"/>
  <c r="E9" i="2"/>
  <c r="E8" i="2"/>
  <c r="E7" i="2"/>
  <c r="E6" i="2"/>
  <c r="E5" i="2"/>
  <c r="E4" i="2"/>
  <c r="E3" i="2"/>
  <c r="B24" i="1"/>
  <c r="G20" i="1" s="1"/>
  <c r="H20" i="1"/>
  <c r="E20" i="1"/>
  <c r="B20" i="1"/>
  <c r="E14" i="1"/>
  <c r="D25" i="1"/>
  <c r="G9" i="1" l="1"/>
  <c r="D26" i="1"/>
  <c r="F20" i="1" s="1"/>
  <c r="D27" i="1"/>
  <c r="D27" i="8"/>
  <c r="B25" i="8"/>
  <c r="H20" i="8" s="1"/>
  <c r="D27" i="4"/>
  <c r="B25" i="4"/>
  <c r="H20" i="4" s="1"/>
  <c r="D27" i="10"/>
  <c r="B25" i="10"/>
  <c r="H20" i="10" s="1"/>
  <c r="D27" i="9"/>
  <c r="B25" i="9"/>
  <c r="H20" i="9" s="1"/>
  <c r="D26" i="4"/>
  <c r="G9" i="4"/>
  <c r="D26" i="10"/>
  <c r="G9" i="10"/>
  <c r="G15" i="10" s="1"/>
  <c r="G9" i="9"/>
  <c r="G15" i="9" s="1"/>
  <c r="D26" i="9"/>
  <c r="G9" i="8"/>
  <c r="G15" i="8" s="1"/>
  <c r="D26" i="8"/>
  <c r="D23" i="1"/>
  <c r="D24" i="1"/>
  <c r="D20" i="1" s="1"/>
  <c r="E20" i="4"/>
  <c r="D23" i="9"/>
  <c r="D24" i="9"/>
  <c r="D20" i="9" s="1"/>
  <c r="D23" i="8"/>
  <c r="D23" i="10"/>
  <c r="D23" i="4"/>
  <c r="D24" i="8"/>
  <c r="D20" i="8" s="1"/>
  <c r="D24" i="10"/>
  <c r="D20" i="10" s="1"/>
  <c r="D24" i="4"/>
  <c r="D20" i="4" s="1"/>
  <c r="B26" i="4"/>
  <c r="B26" i="1"/>
  <c r="C20" i="1" s="1"/>
  <c r="B27" i="1" s="1"/>
  <c r="E14" i="10"/>
  <c r="D25" i="10"/>
  <c r="B24" i="10"/>
  <c r="G20" i="10" s="1"/>
  <c r="B26" i="10"/>
  <c r="B20" i="10"/>
  <c r="E14" i="9"/>
  <c r="D25" i="9"/>
  <c r="B24" i="9"/>
  <c r="G20" i="9" s="1"/>
  <c r="B26" i="9"/>
  <c r="B20" i="9"/>
  <c r="E14" i="8"/>
  <c r="D25" i="8"/>
  <c r="B24" i="8"/>
  <c r="G20" i="8" s="1"/>
  <c r="B26" i="8"/>
  <c r="B20" i="8"/>
  <c r="E14" i="4"/>
  <c r="B24" i="4"/>
  <c r="G20" i="4" s="1"/>
  <c r="F20" i="9" l="1"/>
  <c r="G15" i="4"/>
  <c r="K3" i="4"/>
  <c r="K2" i="4" s="1"/>
  <c r="F20" i="8"/>
  <c r="K3" i="8"/>
  <c r="K2" i="8" s="1"/>
  <c r="K3" i="10"/>
  <c r="K2" i="10" s="1"/>
  <c r="K3" i="9"/>
  <c r="K2" i="9" s="1"/>
  <c r="C20" i="4"/>
  <c r="B27" i="4" s="1"/>
  <c r="E17" i="4" s="1"/>
  <c r="C20" i="8"/>
  <c r="B27" i="8" s="1"/>
  <c r="E17" i="8" s="1"/>
  <c r="C20" i="9"/>
  <c r="B27" i="9" s="1"/>
  <c r="C20" i="10"/>
  <c r="B27" i="10" s="1"/>
  <c r="E17" i="10" s="1"/>
  <c r="F20" i="10"/>
  <c r="F20" i="4"/>
  <c r="B28" i="1"/>
  <c r="B28" i="9" l="1"/>
  <c r="I17" i="9" s="1"/>
  <c r="I18" i="9" s="1"/>
  <c r="I20" i="4"/>
  <c r="J20" i="4" s="1"/>
  <c r="I20" i="8"/>
  <c r="E23" i="8" s="1"/>
  <c r="K3" i="1"/>
  <c r="B28" i="4"/>
  <c r="I17" i="4" s="1"/>
  <c r="I18" i="4" s="1"/>
  <c r="B28" i="8"/>
  <c r="I16" i="8" s="1"/>
  <c r="I20" i="9"/>
  <c r="D29" i="9" s="1"/>
  <c r="H9" i="9" s="1"/>
  <c r="E17" i="9"/>
  <c r="I20" i="10"/>
  <c r="E23" i="10" s="1"/>
  <c r="B28" i="10"/>
  <c r="I17" i="10" s="1"/>
  <c r="I18" i="10" s="1"/>
  <c r="E23" i="4" l="1"/>
  <c r="D29" i="4"/>
  <c r="H9" i="4" s="1"/>
  <c r="I16" i="9"/>
  <c r="J20" i="8"/>
  <c r="D29" i="8"/>
  <c r="H9" i="8" s="1"/>
  <c r="G10" i="8" s="1"/>
  <c r="I16" i="4"/>
  <c r="I17" i="8"/>
  <c r="I18" i="8" s="1"/>
  <c r="I18" i="1" s="1"/>
  <c r="I20" i="1" s="1"/>
  <c r="E23" i="9"/>
  <c r="J20" i="9"/>
  <c r="D29" i="10"/>
  <c r="H9" i="10" s="1"/>
  <c r="G10" i="10" s="1"/>
  <c r="I16" i="10"/>
  <c r="J20" i="10"/>
  <c r="G10" i="9"/>
  <c r="J16" i="9"/>
  <c r="J16" i="4" l="1"/>
  <c r="J20" i="1"/>
  <c r="D29" i="1"/>
  <c r="I17" i="1"/>
  <c r="J16" i="8"/>
  <c r="I16" i="1"/>
  <c r="E23" i="1"/>
  <c r="J16" i="10"/>
  <c r="L3" i="1"/>
  <c r="H9" i="1" s="1"/>
  <c r="G10" i="1" s="1"/>
  <c r="G10" i="4"/>
  <c r="J16"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Guy</author>
    <author>Guy Lightfoot</author>
  </authors>
  <commentList>
    <comment ref="A9" authorId="0" shapeId="0" xr:uid="{00000000-0006-0000-0000-000001000000}">
      <text>
        <r>
          <rPr>
            <sz val="9"/>
            <color indexed="81"/>
            <rFont val="Tahoma"/>
            <family val="2"/>
          </rPr>
          <t xml:space="preserve">When testing at a single frequency, select Various then enter stimulus levels at other frequencies to or 0dB to ensure they play no part in the calculated noise level.
</t>
        </r>
      </text>
    </comment>
    <comment ref="A12" authorId="0" shapeId="0" xr:uid="{00000000-0006-0000-0000-000002000000}">
      <text>
        <r>
          <rPr>
            <sz val="9"/>
            <color indexed="81"/>
            <rFont val="Tahoma"/>
            <family val="2"/>
          </rPr>
          <t>BC tests at 500Hz are not advised.
In AC tests, 500Hz often takes longer; you may opt to exclude 500Hz and test it separately.</t>
        </r>
      </text>
    </comment>
    <comment ref="A14" authorId="1" shapeId="0" xr:uid="{00000000-0006-0000-0000-000003000000}">
      <text>
        <r>
          <rPr>
            <sz val="10"/>
            <color indexed="81"/>
            <rFont val="Tahoma"/>
            <family val="2"/>
          </rPr>
          <t xml:space="preserve">This is normally unknown so estimate, on the basis of tymp &amp; any other available clinical information.
It influences the risk of cross-masking: the greater the air-bone gap, the greater the likelihood of cross-masking. This matters only when testing by air conduction.
</t>
        </r>
      </text>
    </comment>
    <comment ref="A15" authorId="1" shapeId="0" xr:uid="{00000000-0006-0000-0000-000004000000}">
      <text>
        <r>
          <rPr>
            <sz val="10"/>
            <color indexed="81"/>
            <rFont val="Tahoma"/>
            <family val="2"/>
          </rPr>
          <t>This is normally unknown so estimate, on the basis of tymp &amp; any other available clinical information.
It influences the risk of cross-masking: the greater the air-bone gap, the greater the likelihood of cross-masking.</t>
        </r>
      </text>
    </comment>
    <comment ref="A16" authorId="1" shapeId="0" xr:uid="{00000000-0006-0000-0000-000005000000}">
      <text>
        <r>
          <rPr>
            <sz val="10"/>
            <color indexed="81"/>
            <rFont val="Tahoma"/>
            <family val="2"/>
          </rPr>
          <t xml:space="preserve">Needed for deciding if masking is needed.
This is the best non-test ear BC  threshold across frequencies.
Enter the </t>
        </r>
        <r>
          <rPr>
            <i/>
            <u/>
            <sz val="10"/>
            <color indexed="81"/>
            <rFont val="Tahoma"/>
            <family val="2"/>
          </rPr>
          <t>lowest</t>
        </r>
        <r>
          <rPr>
            <sz val="10"/>
            <color indexed="81"/>
            <rFont val="Tahoma"/>
            <family val="2"/>
          </rPr>
          <t xml:space="preserve"> value it could be. If unknown select 0.
</t>
        </r>
      </text>
    </comment>
    <comment ref="A17" authorId="0" shapeId="0" xr:uid="{00000000-0006-0000-0000-000006000000}">
      <text>
        <r>
          <rPr>
            <sz val="10"/>
            <color indexed="81"/>
            <rFont val="Tahoma"/>
            <family val="2"/>
          </rPr>
          <t>Enter the highest (across frequencies) stimulus level you intend using - the calculator will then work out whether masking is needed and if so, the level of noise to use.</t>
        </r>
        <r>
          <rPr>
            <sz val="9"/>
            <color indexed="81"/>
            <rFont val="Tahoma"/>
            <family val="2"/>
          </rPr>
          <t xml:space="preserve">
Limit multi-frequency tests to 80dB</t>
        </r>
      </text>
    </comment>
    <comment ref="A18" authorId="0" shapeId="0" xr:uid="{00000000-0006-0000-0000-000007000000}">
      <text>
        <r>
          <rPr>
            <sz val="9"/>
            <color indexed="81"/>
            <rFont val="Tahoma"/>
            <family val="2"/>
          </rPr>
          <t>Enter the stimulus levels you intend using at each frequency - the calculator will then work out whether masking is needed and if so, the level of noise to use. 
When testing at a single frequency, enter stimulus levels at other frequencies to 0dB to ensure they play no part in the calculated noise level.
When testing at multiple frequencies, limit tests to 80dB.</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Guy Lightfoot</author>
    <author>Guy</author>
  </authors>
  <commentList>
    <comment ref="A14" authorId="0" shapeId="0" xr:uid="{00000000-0006-0000-0100-000001000000}">
      <text>
        <r>
          <rPr>
            <sz val="10"/>
            <color indexed="81"/>
            <rFont val="Tahoma"/>
            <family val="2"/>
          </rPr>
          <t xml:space="preserve">This is normally unknown so estimate, on the basis of tymp &amp; any other available clinical information.
It influences the risk of cross-masking: the greater the air-bone gap, the greater the likelihood of cross-masking. This matters only when testing by air conduction.
</t>
        </r>
      </text>
    </comment>
    <comment ref="A15" authorId="0" shapeId="0" xr:uid="{00000000-0006-0000-0100-000002000000}">
      <text>
        <r>
          <rPr>
            <sz val="10"/>
            <color indexed="81"/>
            <rFont val="Tahoma"/>
            <family val="2"/>
          </rPr>
          <t>This is normally unknown so estimate, on the basis of tymp &amp; any other available clinical information.
It influences the risk of cross-masking: the greater the air-bone gap, the greater the likelihood of cross-masking.</t>
        </r>
      </text>
    </comment>
    <comment ref="A16" authorId="0" shapeId="0" xr:uid="{00000000-0006-0000-0100-000003000000}">
      <text>
        <r>
          <rPr>
            <sz val="10"/>
            <color indexed="81"/>
            <rFont val="Tahoma"/>
            <family val="2"/>
          </rPr>
          <t xml:space="preserve">Needed for deciding if masking is needed.
This is the non-test ear BC  threshold for the chosen stimulus type.
Enter the </t>
        </r>
        <r>
          <rPr>
            <i/>
            <u/>
            <sz val="10"/>
            <color indexed="81"/>
            <rFont val="Tahoma"/>
            <family val="2"/>
          </rPr>
          <t>lowest</t>
        </r>
        <r>
          <rPr>
            <sz val="10"/>
            <color indexed="81"/>
            <rFont val="Tahoma"/>
            <family val="2"/>
          </rPr>
          <t xml:space="preserve"> value it could be. If unknown select 0.
</t>
        </r>
      </text>
    </comment>
    <comment ref="A17" authorId="1" shapeId="0" xr:uid="{00000000-0006-0000-0100-000004000000}">
      <text>
        <r>
          <rPr>
            <sz val="10"/>
            <color indexed="81"/>
            <rFont val="Tahoma"/>
            <family val="2"/>
          </rPr>
          <t>Enter the test level you are using - the calculator will then work out whether masking is needed and if so, the level of noise to use.</t>
        </r>
        <r>
          <rPr>
            <sz val="9"/>
            <color indexed="81"/>
            <rFont val="Tahoma"/>
            <family val="2"/>
          </rPr>
          <t xml:space="preserve">
</t>
        </r>
      </text>
    </comment>
    <comment ref="C19" authorId="0" shapeId="0" xr:uid="{00000000-0006-0000-0100-000005000000}">
      <text>
        <r>
          <rPr>
            <sz val="10"/>
            <color indexed="81"/>
            <rFont val="Tahoma"/>
            <family val="2"/>
          </rPr>
          <t xml:space="preserve">Age-related correction added to stimulus level. 
This accounts for BC  or insert age effects.
</t>
        </r>
      </text>
    </comment>
    <comment ref="D19" authorId="0" shapeId="0" xr:uid="{00000000-0006-0000-0100-000006000000}">
      <text>
        <r>
          <rPr>
            <sz val="10"/>
            <color indexed="81"/>
            <rFont val="Tahoma"/>
            <family val="2"/>
          </rPr>
          <t>RML</t>
        </r>
        <r>
          <rPr>
            <vertAlign val="subscript"/>
            <sz val="10"/>
            <color indexed="81"/>
            <rFont val="Tahoma"/>
            <family val="2"/>
          </rPr>
          <t>upper</t>
        </r>
        <r>
          <rPr>
            <sz val="10"/>
            <color indexed="81"/>
            <rFont val="Tahoma"/>
            <family val="2"/>
          </rPr>
          <t>: The level of noise guaranteed to mask the stimulus in the same ear.
Assumes stimulus level in dBnHL  and noise level in dBSPL</t>
        </r>
      </text>
    </comment>
    <comment ref="E19" authorId="0" shapeId="0" xr:uid="{00000000-0006-0000-0100-000007000000}">
      <text>
        <r>
          <rPr>
            <sz val="10"/>
            <color indexed="81"/>
            <rFont val="Tahoma"/>
            <family val="2"/>
          </rPr>
          <t>Air-bone gap in the non-test ear. Noise needs to be increased by this amount to overcome the effect of conductive element in the ear being masked</t>
        </r>
      </text>
    </comment>
    <comment ref="F19" authorId="0" shapeId="0" xr:uid="{00000000-0006-0000-0100-000008000000}">
      <text>
        <r>
          <rPr>
            <sz val="10"/>
            <color indexed="81"/>
            <rFont val="Tahoma"/>
            <family val="2"/>
          </rPr>
          <t xml:space="preserve">Minimum Interaural Attenuation (transcanial transmission loss) This depends on stimulus and transducer.
Plus:
Additional age-related IA (TTL) (incomplete skull fusion) applicable to all transducers.
</t>
        </r>
      </text>
    </comment>
    <comment ref="G19" authorId="0" shapeId="0" xr:uid="{00000000-0006-0000-0100-000009000000}">
      <text>
        <r>
          <rPr>
            <sz val="10"/>
            <color indexed="81"/>
            <rFont val="Tahoma"/>
            <family val="2"/>
          </rPr>
          <t>Additional age-related correction when inserts are used as the noise  transducer. 
Depends on age.</t>
        </r>
      </text>
    </comment>
    <comment ref="H19" authorId="0" shapeId="0" xr:uid="{00000000-0006-0000-0100-00000A000000}">
      <text>
        <r>
          <rPr>
            <sz val="10"/>
            <color indexed="81"/>
            <rFont val="Tahoma"/>
            <family val="2"/>
          </rPr>
          <t xml:space="preserve">Nc is the noise calibration offset for the selected system and noise transducer. This is set by the manufacturer - there is no international standard for white noise. 
</t>
        </r>
      </text>
    </comment>
    <comment ref="I19" authorId="0" shapeId="0" xr:uid="{00000000-0006-0000-0100-00000B000000}">
      <text>
        <r>
          <rPr>
            <sz val="10"/>
            <color indexed="81"/>
            <rFont val="Tahoma"/>
            <family val="2"/>
          </rPr>
          <t>The result has been rounded to the nearest 5dB step</t>
        </r>
      </text>
    </comment>
    <comment ref="J19" authorId="0" shapeId="0" xr:uid="{00000000-0006-0000-0100-00000C000000}">
      <text>
        <r>
          <rPr>
            <sz val="10"/>
            <color indexed="81"/>
            <rFont val="Tahoma"/>
            <family val="2"/>
          </rPr>
          <t xml:space="preserve">Some systems have the option of setting the noise level as an "offset" - this is handy since changes in the stimulus level automatically change the noise level (synchronous masking)
</t>
        </r>
      </text>
    </comment>
    <comment ref="C23" authorId="0" shapeId="0" xr:uid="{00000000-0006-0000-0100-00000D000000}">
      <text>
        <r>
          <rPr>
            <sz val="8"/>
            <color indexed="81"/>
            <rFont val="Tahoma"/>
            <family val="2"/>
          </rPr>
          <t>Level of noise that will just not totally mask the stimulus in the same ear of any subject. Used in assessing risk of cross-masking.
Assumes stimulus in dBnHL  and noise in dBSPL.
Data Table 2.</t>
        </r>
      </text>
    </comment>
    <comment ref="A24" authorId="0" shapeId="0" xr:uid="{00000000-0006-0000-0100-00000E000000}">
      <text>
        <r>
          <rPr>
            <sz val="8"/>
            <color indexed="81"/>
            <rFont val="Tahoma"/>
            <family val="2"/>
          </rPr>
          <t>Age-related insert transducer SPL lift correction for age. Applies to stimulus &amp; noise when applied via inserts.
Data Table 5. 
Depends on age &amp; stimulus.</t>
        </r>
        <r>
          <rPr>
            <sz val="10"/>
            <color indexed="81"/>
            <rFont val="Tahoma"/>
            <family val="2"/>
          </rPr>
          <t xml:space="preserve">
</t>
        </r>
      </text>
    </comment>
    <comment ref="C24" authorId="0" shapeId="0" xr:uid="{00000000-0006-0000-0100-00000F000000}">
      <text>
        <r>
          <rPr>
            <sz val="8"/>
            <color indexed="81"/>
            <rFont val="Tahoma"/>
            <family val="2"/>
          </rPr>
          <t>Level of noise guaranteed to mask the stimulus in the same ear in all subjects.
Assumes stimulus in dBnHL  and noise in dBSPL.
Data Table 2.</t>
        </r>
      </text>
    </comment>
    <comment ref="A25" authorId="0" shapeId="0" xr:uid="{00000000-0006-0000-0100-000010000000}">
      <text>
        <r>
          <rPr>
            <sz val="8"/>
            <color indexed="81"/>
            <rFont val="Tahoma"/>
            <family val="2"/>
          </rPr>
          <t>Nc is the noise calibration offset for the selected system. 
Data Table 1.
Depends on selected noise transducer</t>
        </r>
      </text>
    </comment>
    <comment ref="C25" authorId="0" shapeId="0" xr:uid="{00000000-0006-0000-0100-000011000000}">
      <text>
        <r>
          <rPr>
            <sz val="8"/>
            <color indexed="81"/>
            <rFont val="Tahoma"/>
            <family val="2"/>
          </rPr>
          <t>Air-bone gap in the non-test ear. Noise needs to be increased by this amount to overcome the effect of conductive element in the ear being masked.</t>
        </r>
      </text>
    </comment>
    <comment ref="A26" authorId="0" shapeId="0" xr:uid="{00000000-0006-0000-0100-000012000000}">
      <text>
        <r>
          <rPr>
            <sz val="8"/>
            <color indexed="81"/>
            <rFont val="Tahoma"/>
            <family val="2"/>
          </rPr>
          <t>BC lift caused by incomplete cranial bone fusion.
Data Table 6.
Click data based on Webb (1993).
This value is included in the equation only when BC is used.</t>
        </r>
      </text>
    </comment>
    <comment ref="C26" authorId="0" shapeId="0" xr:uid="{00000000-0006-0000-0100-000013000000}">
      <text>
        <r>
          <rPr>
            <sz val="8"/>
            <color indexed="81"/>
            <rFont val="Tahoma"/>
            <family val="2"/>
          </rPr>
          <t>Minimum interaural attenuation (transcanial transmission loss) for the stimulus.
Data Table 3. 
Depends on transducer and stimulus.</t>
        </r>
      </text>
    </comment>
    <comment ref="A27" authorId="0" shapeId="0" xr:uid="{00000000-0006-0000-0100-000014000000}">
      <text>
        <r>
          <rPr>
            <sz val="8"/>
            <color indexed="81"/>
            <rFont val="Tahoma"/>
            <family val="2"/>
          </rPr>
          <t xml:space="preserve">For information only.
Applies NHSP corrections for click BC/Insert age effects and nHL-eHL offsets. 
</t>
        </r>
      </text>
    </comment>
    <comment ref="C27" authorId="0" shapeId="0" xr:uid="{00000000-0006-0000-0100-000015000000}">
      <text>
        <r>
          <rPr>
            <sz val="8"/>
            <color indexed="81"/>
            <rFont val="Tahoma"/>
            <family val="2"/>
          </rPr>
          <t>Minimum interaural attenuation (transcanial transmission loss) for the noise.
Data Table 3. 
Depends on transducer and stimulus.</t>
        </r>
        <r>
          <rPr>
            <sz val="10"/>
            <color indexed="81"/>
            <rFont val="Tahoma"/>
            <family val="2"/>
          </rPr>
          <t xml:space="preserve">
</t>
        </r>
      </text>
    </comment>
    <comment ref="A28" authorId="0" shapeId="0" xr:uid="{00000000-0006-0000-0100-000016000000}">
      <text>
        <r>
          <rPr>
            <sz val="8"/>
            <color indexed="81"/>
            <rFont val="Tahoma"/>
            <family val="2"/>
          </rPr>
          <t>Maximum stimulus level in dBeHL reaching non-test cochlea.
This is helpful when deciding whether masking is necessary.</t>
        </r>
        <r>
          <rPr>
            <sz val="10"/>
            <color indexed="81"/>
            <rFont val="Tahoma"/>
            <family val="2"/>
          </rPr>
          <t xml:space="preserve">
</t>
        </r>
      </text>
    </comment>
    <comment ref="C28" authorId="0" shapeId="0" xr:uid="{00000000-0006-0000-0100-000017000000}">
      <text>
        <r>
          <rPr>
            <sz val="8"/>
            <color indexed="81"/>
            <rFont val="Tahoma"/>
            <family val="2"/>
          </rPr>
          <t>Additional age-related IA (TTL).
Applicable to all transducers.
Data Table 4: 
IA depends on age &amp; stimulus</t>
        </r>
        <r>
          <rPr>
            <sz val="10"/>
            <color indexed="81"/>
            <rFont val="Tahoma"/>
            <family val="2"/>
          </rPr>
          <t xml:space="preserve">
</t>
        </r>
      </text>
    </comment>
    <comment ref="C29" authorId="0" shapeId="0" xr:uid="{00000000-0006-0000-0100-000018000000}">
      <text>
        <r>
          <rPr>
            <sz val="8"/>
            <color indexed="81"/>
            <rFont val="Tahoma"/>
            <family val="2"/>
          </rPr>
          <t>Used in calculating the risk of cross-masking. Maximum noise level at the test ear cochlea in dB SPL</t>
        </r>
        <r>
          <rPr>
            <sz val="10"/>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Guy Lightfoot</author>
    <author>Guy</author>
  </authors>
  <commentList>
    <comment ref="A14" authorId="0" shapeId="0" xr:uid="{00000000-0006-0000-0200-000001000000}">
      <text>
        <r>
          <rPr>
            <sz val="10"/>
            <color indexed="81"/>
            <rFont val="Tahoma"/>
            <family val="2"/>
          </rPr>
          <t xml:space="preserve">This is normally unknown so estimate, on the basis of tymp &amp; any other available clinical information.
It influences the risk of cross-masking: the greater the air-bone gap, the greater the likelihood of cross-masking. This matters only when testing by air conduction.
</t>
        </r>
      </text>
    </comment>
    <comment ref="A15" authorId="0" shapeId="0" xr:uid="{00000000-0006-0000-0200-000002000000}">
      <text>
        <r>
          <rPr>
            <sz val="10"/>
            <color indexed="81"/>
            <rFont val="Tahoma"/>
            <family val="2"/>
          </rPr>
          <t>This is normally unknown so estimate, on the basis of tymp &amp; any other available clinical information.
It influences the risk of cross-masking: the greater the air-bone gap, the greater the likelihood of cross-masking.</t>
        </r>
      </text>
    </comment>
    <comment ref="A16" authorId="0" shapeId="0" xr:uid="{00000000-0006-0000-0200-000003000000}">
      <text>
        <r>
          <rPr>
            <sz val="10"/>
            <color indexed="81"/>
            <rFont val="Tahoma"/>
            <family val="2"/>
          </rPr>
          <t xml:space="preserve">Needed for deciding if masking is needed.
This is the non-test ear BC  threshold for the chosen stimulus type.
Enter the </t>
        </r>
        <r>
          <rPr>
            <i/>
            <u/>
            <sz val="10"/>
            <color indexed="81"/>
            <rFont val="Tahoma"/>
            <family val="2"/>
          </rPr>
          <t>lowest</t>
        </r>
        <r>
          <rPr>
            <sz val="10"/>
            <color indexed="81"/>
            <rFont val="Tahoma"/>
            <family val="2"/>
          </rPr>
          <t xml:space="preserve"> value it could be. If unknown select 0.
</t>
        </r>
      </text>
    </comment>
    <comment ref="A17" authorId="1" shapeId="0" xr:uid="{00000000-0006-0000-0200-000004000000}">
      <text>
        <r>
          <rPr>
            <sz val="10"/>
            <color indexed="81"/>
            <rFont val="Tahoma"/>
            <family val="2"/>
          </rPr>
          <t>Enter the test level you are using - the calculator will then work out whether masking is needed and if so, the level of noise to use.</t>
        </r>
        <r>
          <rPr>
            <sz val="9"/>
            <color indexed="81"/>
            <rFont val="Tahoma"/>
            <family val="2"/>
          </rPr>
          <t xml:space="preserve">
</t>
        </r>
      </text>
    </comment>
    <comment ref="C19" authorId="0" shapeId="0" xr:uid="{00000000-0006-0000-0200-000005000000}">
      <text>
        <r>
          <rPr>
            <sz val="10"/>
            <color indexed="81"/>
            <rFont val="Tahoma"/>
            <family val="2"/>
          </rPr>
          <t xml:space="preserve">Age-related correction added to stimulus level. 
This accounts for BC  or insert age effects.
</t>
        </r>
      </text>
    </comment>
    <comment ref="D19" authorId="0" shapeId="0" xr:uid="{00000000-0006-0000-0200-000006000000}">
      <text>
        <r>
          <rPr>
            <sz val="10"/>
            <color indexed="81"/>
            <rFont val="Tahoma"/>
            <family val="2"/>
          </rPr>
          <t>RML</t>
        </r>
        <r>
          <rPr>
            <vertAlign val="subscript"/>
            <sz val="10"/>
            <color indexed="81"/>
            <rFont val="Tahoma"/>
            <family val="2"/>
          </rPr>
          <t>upper</t>
        </r>
        <r>
          <rPr>
            <sz val="10"/>
            <color indexed="81"/>
            <rFont val="Tahoma"/>
            <family val="2"/>
          </rPr>
          <t>: The level of noise guaranteed to mask the stimulus in the same ear.
Assumes stimulus level in dBnHL  and noise level in dBSPL</t>
        </r>
      </text>
    </comment>
    <comment ref="E19" authorId="0" shapeId="0" xr:uid="{00000000-0006-0000-0200-000007000000}">
      <text>
        <r>
          <rPr>
            <sz val="10"/>
            <color indexed="81"/>
            <rFont val="Tahoma"/>
            <family val="2"/>
          </rPr>
          <t>Air-bone gap in the non-test ear. Noise needs to be increased by this amount to overcome the effect of conductive element in the ear being masked</t>
        </r>
      </text>
    </comment>
    <comment ref="F19" authorId="0" shapeId="0" xr:uid="{00000000-0006-0000-0200-000008000000}">
      <text>
        <r>
          <rPr>
            <sz val="10"/>
            <color indexed="81"/>
            <rFont val="Tahoma"/>
            <family val="2"/>
          </rPr>
          <t xml:space="preserve">Minimum Interaural Attenuation (transcanial transmission loss) This depends on stimulus and transducer.
Plus:
Additional age-related IA (TTL) (incomplete skull fusion) applicable to all transducers.
</t>
        </r>
      </text>
    </comment>
    <comment ref="G19" authorId="0" shapeId="0" xr:uid="{00000000-0006-0000-0200-000009000000}">
      <text>
        <r>
          <rPr>
            <sz val="10"/>
            <color indexed="81"/>
            <rFont val="Tahoma"/>
            <family val="2"/>
          </rPr>
          <t>Additional age-related correction when inserts are used as the noise  transducer. 
Depends on age.</t>
        </r>
      </text>
    </comment>
    <comment ref="H19" authorId="0" shapeId="0" xr:uid="{00000000-0006-0000-0200-00000A000000}">
      <text>
        <r>
          <rPr>
            <sz val="10"/>
            <color indexed="81"/>
            <rFont val="Tahoma"/>
            <family val="2"/>
          </rPr>
          <t xml:space="preserve">Nc is the noise calibration offset for the selected system and noise transducer. This is set by the manufacturer - there is no international standard for white noise. 
</t>
        </r>
      </text>
    </comment>
    <comment ref="I19" authorId="0" shapeId="0" xr:uid="{00000000-0006-0000-0200-00000B000000}">
      <text>
        <r>
          <rPr>
            <sz val="10"/>
            <color indexed="81"/>
            <rFont val="Tahoma"/>
            <family val="2"/>
          </rPr>
          <t>The result has been rounded to the nearest 5dB step</t>
        </r>
      </text>
    </comment>
    <comment ref="J19" authorId="0" shapeId="0" xr:uid="{00000000-0006-0000-0200-00000C000000}">
      <text>
        <r>
          <rPr>
            <sz val="10"/>
            <color indexed="81"/>
            <rFont val="Tahoma"/>
            <family val="2"/>
          </rPr>
          <t xml:space="preserve">Some systems have the option of setting the noise level as an "offset" - this is handy since changes in the stimulus level automatically change the noise level (synchronous masking)
</t>
        </r>
      </text>
    </comment>
    <comment ref="C23" authorId="0" shapeId="0" xr:uid="{00000000-0006-0000-0200-00000D000000}">
      <text>
        <r>
          <rPr>
            <sz val="8"/>
            <color indexed="81"/>
            <rFont val="Tahoma"/>
            <family val="2"/>
          </rPr>
          <t>Level of noise that will just not totally mask the stimulus in the same ear of any subject. Used in assessing risk of cross-masking.
Assumes stimulus in dBnHL  and noise in dBSPL.
Data Table 2.</t>
        </r>
      </text>
    </comment>
    <comment ref="A24" authorId="0" shapeId="0" xr:uid="{00000000-0006-0000-0200-00000E000000}">
      <text>
        <r>
          <rPr>
            <sz val="8"/>
            <color indexed="81"/>
            <rFont val="Tahoma"/>
            <family val="2"/>
          </rPr>
          <t>Age-related insert transducer SPL lift correction for age. Applies to stimulus &amp; noise when applied via inserts.
Data Table 5. 
Depends on age &amp; stimulus.</t>
        </r>
        <r>
          <rPr>
            <sz val="10"/>
            <color indexed="81"/>
            <rFont val="Tahoma"/>
            <family val="2"/>
          </rPr>
          <t xml:space="preserve">
</t>
        </r>
      </text>
    </comment>
    <comment ref="C24" authorId="0" shapeId="0" xr:uid="{00000000-0006-0000-0200-00000F000000}">
      <text>
        <r>
          <rPr>
            <sz val="8"/>
            <color indexed="81"/>
            <rFont val="Tahoma"/>
            <family val="2"/>
          </rPr>
          <t>Level of noise guaranteed to mask the stimulus in the same ear in all subjects.
Assumes stimulus in dBnHL  and noise in dBSPL.
Data Table 2.</t>
        </r>
      </text>
    </comment>
    <comment ref="A25" authorId="0" shapeId="0" xr:uid="{00000000-0006-0000-0200-000010000000}">
      <text>
        <r>
          <rPr>
            <sz val="8"/>
            <color indexed="81"/>
            <rFont val="Tahoma"/>
            <family val="2"/>
          </rPr>
          <t>Nc is the noise calibration offset for the selected system. 
Data Table 1.
Depends on selected noise transducer</t>
        </r>
      </text>
    </comment>
    <comment ref="C25" authorId="0" shapeId="0" xr:uid="{00000000-0006-0000-0200-000011000000}">
      <text>
        <r>
          <rPr>
            <sz val="8"/>
            <color indexed="81"/>
            <rFont val="Tahoma"/>
            <family val="2"/>
          </rPr>
          <t>Air-bone gap in the non-test ear. Noise needs to be increased by this amount to overcome the effect of conductive element in the ear being masked.</t>
        </r>
      </text>
    </comment>
    <comment ref="A26" authorId="0" shapeId="0" xr:uid="{00000000-0006-0000-0200-000012000000}">
      <text>
        <r>
          <rPr>
            <sz val="8"/>
            <color indexed="81"/>
            <rFont val="Tahoma"/>
            <family val="2"/>
          </rPr>
          <t>BC lift caused by incomplete cranial bone fusion.
Data Table 6.
Click data based on Webb (1993).
This value is included in the equation only when BC is used.</t>
        </r>
      </text>
    </comment>
    <comment ref="C26" authorId="0" shapeId="0" xr:uid="{00000000-0006-0000-0200-000013000000}">
      <text>
        <r>
          <rPr>
            <sz val="8"/>
            <color indexed="81"/>
            <rFont val="Tahoma"/>
            <family val="2"/>
          </rPr>
          <t>Minimum interaural attenuation (transcanial transmission loss) for the stimulus.
Data Table 3. 
Depends on transducer and stimulus.</t>
        </r>
      </text>
    </comment>
    <comment ref="A27" authorId="0" shapeId="0" xr:uid="{00000000-0006-0000-0200-000014000000}">
      <text>
        <r>
          <rPr>
            <sz val="8"/>
            <color indexed="81"/>
            <rFont val="Tahoma"/>
            <family val="2"/>
          </rPr>
          <t xml:space="preserve">For information only.
Applies NHSP corrections for click BC/Insert age effects and nHL-eHL offsets. 
</t>
        </r>
      </text>
    </comment>
    <comment ref="C27" authorId="0" shapeId="0" xr:uid="{00000000-0006-0000-0200-000015000000}">
      <text>
        <r>
          <rPr>
            <sz val="8"/>
            <color indexed="81"/>
            <rFont val="Tahoma"/>
            <family val="2"/>
          </rPr>
          <t>Minimum interaural attenuation (transcanial transmission loss) for the noise.
Data Table 3. 
Depends on transducer and stimulus.</t>
        </r>
        <r>
          <rPr>
            <sz val="10"/>
            <color indexed="81"/>
            <rFont val="Tahoma"/>
            <family val="2"/>
          </rPr>
          <t xml:space="preserve">
</t>
        </r>
      </text>
    </comment>
    <comment ref="A28" authorId="0" shapeId="0" xr:uid="{00000000-0006-0000-0200-000016000000}">
      <text>
        <r>
          <rPr>
            <sz val="8"/>
            <color indexed="81"/>
            <rFont val="Tahoma"/>
            <family val="2"/>
          </rPr>
          <t>Maximum stimulus level in dBeHL reaching non-test cochlea.
This is helpful when deciding whether masking is necessary.</t>
        </r>
        <r>
          <rPr>
            <sz val="10"/>
            <color indexed="81"/>
            <rFont val="Tahoma"/>
            <family val="2"/>
          </rPr>
          <t xml:space="preserve">
</t>
        </r>
      </text>
    </comment>
    <comment ref="C28" authorId="0" shapeId="0" xr:uid="{00000000-0006-0000-0200-000017000000}">
      <text>
        <r>
          <rPr>
            <sz val="8"/>
            <color indexed="81"/>
            <rFont val="Tahoma"/>
            <family val="2"/>
          </rPr>
          <t>Additional age-related IA (TTL).
Applicable to all transducers.
Data Table 4: 
IA depends on age &amp; stimulus</t>
        </r>
        <r>
          <rPr>
            <sz val="10"/>
            <color indexed="81"/>
            <rFont val="Tahoma"/>
            <family val="2"/>
          </rPr>
          <t xml:space="preserve">
</t>
        </r>
      </text>
    </comment>
    <comment ref="C29" authorId="0" shapeId="0" xr:uid="{00000000-0006-0000-0200-000018000000}">
      <text>
        <r>
          <rPr>
            <sz val="8"/>
            <color indexed="81"/>
            <rFont val="Tahoma"/>
            <family val="2"/>
          </rPr>
          <t>Used in calculating the risk of cross-masking. Maximum noise level at the test ear cochlea in dB SPL</t>
        </r>
        <r>
          <rPr>
            <sz val="10"/>
            <color indexed="81"/>
            <rFont val="Tahoma"/>
            <family val="2"/>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Guy Lightfoot</author>
    <author>Guy</author>
  </authors>
  <commentList>
    <comment ref="A14" authorId="0" shapeId="0" xr:uid="{00000000-0006-0000-0300-000001000000}">
      <text>
        <r>
          <rPr>
            <sz val="10"/>
            <color indexed="81"/>
            <rFont val="Tahoma"/>
            <family val="2"/>
          </rPr>
          <t xml:space="preserve">This is normally unknown so estimate, on the basis of tymp &amp; any other available clinical information.
It influences the risk of cross-masking: the greater the air-bone gap, the greater the likelihood of cross-masking. This matters only when testing by air conduction.
</t>
        </r>
      </text>
    </comment>
    <comment ref="A15" authorId="0" shapeId="0" xr:uid="{00000000-0006-0000-0300-000002000000}">
      <text>
        <r>
          <rPr>
            <sz val="10"/>
            <color indexed="81"/>
            <rFont val="Tahoma"/>
            <family val="2"/>
          </rPr>
          <t>This is normally unknown so estimate, on the basis of tymp &amp; any other available clinical information.
It influences the risk of cross-masking: the greater the air-bone gap, the greater the likelihood of cross-masking.</t>
        </r>
      </text>
    </comment>
    <comment ref="A16" authorId="0" shapeId="0" xr:uid="{00000000-0006-0000-0300-000003000000}">
      <text>
        <r>
          <rPr>
            <sz val="10"/>
            <color indexed="81"/>
            <rFont val="Tahoma"/>
            <family val="2"/>
          </rPr>
          <t xml:space="preserve">Needed for deciding if masking is needed.
This is the non-test ear BC  threshold for the chosen stimulus type.
Enter the </t>
        </r>
        <r>
          <rPr>
            <i/>
            <u/>
            <sz val="10"/>
            <color indexed="81"/>
            <rFont val="Tahoma"/>
            <family val="2"/>
          </rPr>
          <t>lowest</t>
        </r>
        <r>
          <rPr>
            <sz val="10"/>
            <color indexed="81"/>
            <rFont val="Tahoma"/>
            <family val="2"/>
          </rPr>
          <t xml:space="preserve"> value it could be. If unknown select 0.
</t>
        </r>
      </text>
    </comment>
    <comment ref="A17" authorId="1" shapeId="0" xr:uid="{00000000-0006-0000-0300-000004000000}">
      <text>
        <r>
          <rPr>
            <sz val="10"/>
            <color indexed="81"/>
            <rFont val="Tahoma"/>
            <family val="2"/>
          </rPr>
          <t>Enter the test level you are using - the calculator will then work out whether masking is needed and if so, the level of noise to use.</t>
        </r>
        <r>
          <rPr>
            <sz val="9"/>
            <color indexed="81"/>
            <rFont val="Tahoma"/>
            <family val="2"/>
          </rPr>
          <t xml:space="preserve">
</t>
        </r>
      </text>
    </comment>
    <comment ref="C19" authorId="0" shapeId="0" xr:uid="{00000000-0006-0000-0300-000005000000}">
      <text>
        <r>
          <rPr>
            <sz val="10"/>
            <color indexed="81"/>
            <rFont val="Tahoma"/>
            <family val="2"/>
          </rPr>
          <t xml:space="preserve">Age-related correction added to stimulus level. 
This accounts for BC  or insert age effects.
</t>
        </r>
      </text>
    </comment>
    <comment ref="D19" authorId="0" shapeId="0" xr:uid="{00000000-0006-0000-0300-000006000000}">
      <text>
        <r>
          <rPr>
            <sz val="10"/>
            <color indexed="81"/>
            <rFont val="Tahoma"/>
            <family val="2"/>
          </rPr>
          <t>RML</t>
        </r>
        <r>
          <rPr>
            <vertAlign val="subscript"/>
            <sz val="10"/>
            <color indexed="81"/>
            <rFont val="Tahoma"/>
            <family val="2"/>
          </rPr>
          <t>upper</t>
        </r>
        <r>
          <rPr>
            <sz val="10"/>
            <color indexed="81"/>
            <rFont val="Tahoma"/>
            <family val="2"/>
          </rPr>
          <t>: The level of noise guaranteed to mask the stimulus in the same ear.
Assumes stimulus level in dBnHL  and noise level in dBSPL</t>
        </r>
      </text>
    </comment>
    <comment ref="E19" authorId="0" shapeId="0" xr:uid="{00000000-0006-0000-0300-000007000000}">
      <text>
        <r>
          <rPr>
            <sz val="10"/>
            <color indexed="81"/>
            <rFont val="Tahoma"/>
            <family val="2"/>
          </rPr>
          <t>Air-bone gap in the non-test ear. Noise needs to be increased by this amount to overcome the effect of conductive element in the ear being masked</t>
        </r>
      </text>
    </comment>
    <comment ref="F19" authorId="0" shapeId="0" xr:uid="{00000000-0006-0000-0300-000008000000}">
      <text>
        <r>
          <rPr>
            <sz val="10"/>
            <color indexed="81"/>
            <rFont val="Tahoma"/>
            <family val="2"/>
          </rPr>
          <t xml:space="preserve">Minimum Interaural Attenuation (transcanial transmission loss) This depends on stimulus and transducer.
Plus:
Additional age-related IA (TTL) (incomplete skull fusion) applicable to all transducers.
</t>
        </r>
      </text>
    </comment>
    <comment ref="G19" authorId="0" shapeId="0" xr:uid="{00000000-0006-0000-0300-000009000000}">
      <text>
        <r>
          <rPr>
            <sz val="10"/>
            <color indexed="81"/>
            <rFont val="Tahoma"/>
            <family val="2"/>
          </rPr>
          <t>Additional age-related correction when inserts are used as the noise  transducer. 
Depends on age.</t>
        </r>
      </text>
    </comment>
    <comment ref="H19" authorId="0" shapeId="0" xr:uid="{00000000-0006-0000-0300-00000A000000}">
      <text>
        <r>
          <rPr>
            <sz val="10"/>
            <color indexed="81"/>
            <rFont val="Tahoma"/>
            <family val="2"/>
          </rPr>
          <t xml:space="preserve">Nc is the noise calibration offset for the selected system and noise transducer. This is set by the manufacturer - there is no international standard for white noise. 
</t>
        </r>
      </text>
    </comment>
    <comment ref="I19" authorId="0" shapeId="0" xr:uid="{00000000-0006-0000-0300-00000B000000}">
      <text>
        <r>
          <rPr>
            <sz val="10"/>
            <color indexed="81"/>
            <rFont val="Tahoma"/>
            <family val="2"/>
          </rPr>
          <t>The result has been rounded to the nearest 5dB step</t>
        </r>
      </text>
    </comment>
    <comment ref="J19" authorId="0" shapeId="0" xr:uid="{00000000-0006-0000-0300-00000C000000}">
      <text>
        <r>
          <rPr>
            <sz val="10"/>
            <color indexed="81"/>
            <rFont val="Tahoma"/>
            <family val="2"/>
          </rPr>
          <t xml:space="preserve">Some systems have the option of setting the noise level as an "offset" - this is handy since changes in the stimulus level automatically change the noise level (synchronous masking)
</t>
        </r>
      </text>
    </comment>
    <comment ref="C23" authorId="0" shapeId="0" xr:uid="{00000000-0006-0000-0300-00000D000000}">
      <text>
        <r>
          <rPr>
            <sz val="8"/>
            <color indexed="81"/>
            <rFont val="Tahoma"/>
            <family val="2"/>
          </rPr>
          <t>Level of noise that will just not totally mask the stimulus in the same ear of any subject. Used in assessing risk of cross-masking.
Assumes stimulus in dBnHL  and noise in dBSPL.
Data Table 2.</t>
        </r>
      </text>
    </comment>
    <comment ref="A24" authorId="0" shapeId="0" xr:uid="{00000000-0006-0000-0300-00000E000000}">
      <text>
        <r>
          <rPr>
            <sz val="8"/>
            <color indexed="81"/>
            <rFont val="Tahoma"/>
            <family val="2"/>
          </rPr>
          <t>Age-related insert transducer SPL lift correction for age. Applies to stimulus &amp; noise when applied via inserts.
Data Table 5. 
Depends on age &amp; stimulus.</t>
        </r>
        <r>
          <rPr>
            <sz val="10"/>
            <color indexed="81"/>
            <rFont val="Tahoma"/>
            <family val="2"/>
          </rPr>
          <t xml:space="preserve">
</t>
        </r>
      </text>
    </comment>
    <comment ref="C24" authorId="0" shapeId="0" xr:uid="{00000000-0006-0000-0300-00000F000000}">
      <text>
        <r>
          <rPr>
            <sz val="8"/>
            <color indexed="81"/>
            <rFont val="Tahoma"/>
            <family val="2"/>
          </rPr>
          <t>Level of noise guaranteed to mask the stimulus in the same ear in all subjects.
Assumes stimulus in dBnHL  and noise in dBSPL.
Data Table 2.</t>
        </r>
      </text>
    </comment>
    <comment ref="A25" authorId="0" shapeId="0" xr:uid="{00000000-0006-0000-0300-000010000000}">
      <text>
        <r>
          <rPr>
            <sz val="8"/>
            <color indexed="81"/>
            <rFont val="Tahoma"/>
            <family val="2"/>
          </rPr>
          <t>Nc is the noise calibration offset for the selected system. 
Data Table 1.
Depends on selected noise transducer</t>
        </r>
      </text>
    </comment>
    <comment ref="C25" authorId="0" shapeId="0" xr:uid="{00000000-0006-0000-0300-000011000000}">
      <text>
        <r>
          <rPr>
            <sz val="8"/>
            <color indexed="81"/>
            <rFont val="Tahoma"/>
            <family val="2"/>
          </rPr>
          <t>Air-bone gap in the non-test ear. Noise needs to be increased by this amount to overcome the effect of conductive element in the ear being masked.</t>
        </r>
      </text>
    </comment>
    <comment ref="A26" authorId="0" shapeId="0" xr:uid="{00000000-0006-0000-0300-000012000000}">
      <text>
        <r>
          <rPr>
            <sz val="8"/>
            <color indexed="81"/>
            <rFont val="Tahoma"/>
            <family val="2"/>
          </rPr>
          <t>BC lift caused by incomplete cranial bone fusion.
Data Table 6.
Click data based on Webb (1993).
This value is included in the equation only when BC is used.</t>
        </r>
      </text>
    </comment>
    <comment ref="C26" authorId="0" shapeId="0" xr:uid="{00000000-0006-0000-0300-000013000000}">
      <text>
        <r>
          <rPr>
            <sz val="8"/>
            <color indexed="81"/>
            <rFont val="Tahoma"/>
            <family val="2"/>
          </rPr>
          <t>Minimum interaural attenuation (transcanial transmission loss) for the stimulus.
Data Table 3. 
Depends on transducer and stimulus.</t>
        </r>
      </text>
    </comment>
    <comment ref="A27" authorId="0" shapeId="0" xr:uid="{00000000-0006-0000-0300-000014000000}">
      <text>
        <r>
          <rPr>
            <sz val="8"/>
            <color indexed="81"/>
            <rFont val="Tahoma"/>
            <family val="2"/>
          </rPr>
          <t xml:space="preserve">For information only.
Applies NHSP corrections for click BC/Insert age effects and nHL-eHL offsets. 
</t>
        </r>
      </text>
    </comment>
    <comment ref="C27" authorId="0" shapeId="0" xr:uid="{00000000-0006-0000-0300-000015000000}">
      <text>
        <r>
          <rPr>
            <sz val="8"/>
            <color indexed="81"/>
            <rFont val="Tahoma"/>
            <family val="2"/>
          </rPr>
          <t>Minimum interaural attenuation (transcanial transmission loss) for the noise.
Data Table 3. 
Depends on transducer and stimulus.</t>
        </r>
        <r>
          <rPr>
            <sz val="10"/>
            <color indexed="81"/>
            <rFont val="Tahoma"/>
            <family val="2"/>
          </rPr>
          <t xml:space="preserve">
</t>
        </r>
      </text>
    </comment>
    <comment ref="A28" authorId="0" shapeId="0" xr:uid="{00000000-0006-0000-0300-000016000000}">
      <text>
        <r>
          <rPr>
            <sz val="8"/>
            <color indexed="81"/>
            <rFont val="Tahoma"/>
            <family val="2"/>
          </rPr>
          <t>Maximum stimulus level in dBeHL reaching non-test cochlea.
This is helpful when deciding whether masking is necessary.</t>
        </r>
        <r>
          <rPr>
            <sz val="10"/>
            <color indexed="81"/>
            <rFont val="Tahoma"/>
            <family val="2"/>
          </rPr>
          <t xml:space="preserve">
</t>
        </r>
      </text>
    </comment>
    <comment ref="C28" authorId="0" shapeId="0" xr:uid="{00000000-0006-0000-0300-000017000000}">
      <text>
        <r>
          <rPr>
            <sz val="8"/>
            <color indexed="81"/>
            <rFont val="Tahoma"/>
            <family val="2"/>
          </rPr>
          <t>Additional age-related IA (TTL).
Applicable to all transducers.
Data Table 4: 
IA depends on age &amp; stimulus</t>
        </r>
        <r>
          <rPr>
            <sz val="10"/>
            <color indexed="81"/>
            <rFont val="Tahoma"/>
            <family val="2"/>
          </rPr>
          <t xml:space="preserve">
</t>
        </r>
      </text>
    </comment>
    <comment ref="C29" authorId="0" shapeId="0" xr:uid="{00000000-0006-0000-0300-000018000000}">
      <text>
        <r>
          <rPr>
            <sz val="8"/>
            <color indexed="81"/>
            <rFont val="Tahoma"/>
            <family val="2"/>
          </rPr>
          <t>Used in calculating the risk of cross-masking. Maximum noise level at the test ear cochlea in dB SPL</t>
        </r>
        <r>
          <rPr>
            <sz val="10"/>
            <color indexed="81"/>
            <rFont val="Tahoma"/>
            <family val="2"/>
          </rPr>
          <t xml:space="preserv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Guy Lightfoot</author>
    <author>Guy</author>
  </authors>
  <commentList>
    <comment ref="A14" authorId="0" shapeId="0" xr:uid="{00000000-0006-0000-0400-000001000000}">
      <text>
        <r>
          <rPr>
            <sz val="10"/>
            <color indexed="81"/>
            <rFont val="Tahoma"/>
            <family val="2"/>
          </rPr>
          <t xml:space="preserve">This is normally unknown so estimate, on the basis of tymp &amp; any other available clinical information.
It influences the risk of cross-masking: the greater the air-bone gap, the greater the likelihood of cross-masking. This matters only when testing by air conduction.
</t>
        </r>
      </text>
    </comment>
    <comment ref="A15" authorId="0" shapeId="0" xr:uid="{00000000-0006-0000-0400-000002000000}">
      <text>
        <r>
          <rPr>
            <sz val="10"/>
            <color indexed="81"/>
            <rFont val="Tahoma"/>
            <family val="2"/>
          </rPr>
          <t>This is normally unknown so estimate, on the basis of tymp &amp; any other available clinical information.
It influences the risk of cross-masking: the greater the air-bone gap, the greater the likelihood of cross-masking.</t>
        </r>
      </text>
    </comment>
    <comment ref="A16" authorId="0" shapeId="0" xr:uid="{00000000-0006-0000-0400-000003000000}">
      <text>
        <r>
          <rPr>
            <sz val="10"/>
            <color indexed="81"/>
            <rFont val="Tahoma"/>
            <family val="2"/>
          </rPr>
          <t xml:space="preserve">Needed for deciding if masking is needed.
This is the non-test ear BC  threshold for the chosen stimulus type.
Enter the </t>
        </r>
        <r>
          <rPr>
            <i/>
            <u/>
            <sz val="10"/>
            <color indexed="81"/>
            <rFont val="Tahoma"/>
            <family val="2"/>
          </rPr>
          <t>lowest</t>
        </r>
        <r>
          <rPr>
            <sz val="10"/>
            <color indexed="81"/>
            <rFont val="Tahoma"/>
            <family val="2"/>
          </rPr>
          <t xml:space="preserve"> value it could be. If unknown select 0.
</t>
        </r>
      </text>
    </comment>
    <comment ref="A17" authorId="1" shapeId="0" xr:uid="{00000000-0006-0000-0400-000004000000}">
      <text>
        <r>
          <rPr>
            <sz val="10"/>
            <color indexed="81"/>
            <rFont val="Tahoma"/>
            <family val="2"/>
          </rPr>
          <t>Enter the test level you are using - the calculator will then work out whether masking is needed and if so, the level of noise to use.</t>
        </r>
        <r>
          <rPr>
            <sz val="9"/>
            <color indexed="81"/>
            <rFont val="Tahoma"/>
            <family val="2"/>
          </rPr>
          <t xml:space="preserve">
</t>
        </r>
      </text>
    </comment>
    <comment ref="C19" authorId="0" shapeId="0" xr:uid="{00000000-0006-0000-0400-000005000000}">
      <text>
        <r>
          <rPr>
            <sz val="10"/>
            <color indexed="81"/>
            <rFont val="Tahoma"/>
            <family val="2"/>
          </rPr>
          <t xml:space="preserve">Age-related correction added to stimulus level. 
This accounts for BC  or insert age effects.
</t>
        </r>
      </text>
    </comment>
    <comment ref="D19" authorId="0" shapeId="0" xr:uid="{00000000-0006-0000-0400-000006000000}">
      <text>
        <r>
          <rPr>
            <sz val="10"/>
            <color indexed="81"/>
            <rFont val="Tahoma"/>
            <family val="2"/>
          </rPr>
          <t>RML</t>
        </r>
        <r>
          <rPr>
            <vertAlign val="subscript"/>
            <sz val="10"/>
            <color indexed="81"/>
            <rFont val="Tahoma"/>
            <family val="2"/>
          </rPr>
          <t>upper</t>
        </r>
        <r>
          <rPr>
            <sz val="10"/>
            <color indexed="81"/>
            <rFont val="Tahoma"/>
            <family val="2"/>
          </rPr>
          <t>: The level of noise guaranteed to mask the stimulus in the same ear.
Assumes stimulus level in dBnHL  and noise level in dBSPL</t>
        </r>
      </text>
    </comment>
    <comment ref="E19" authorId="0" shapeId="0" xr:uid="{00000000-0006-0000-0400-000007000000}">
      <text>
        <r>
          <rPr>
            <sz val="10"/>
            <color indexed="81"/>
            <rFont val="Tahoma"/>
            <family val="2"/>
          </rPr>
          <t>Air-bone gap in the non-test ear. Noise needs to be increased by this amount to overcome the effect of conductive element in the ear being masked</t>
        </r>
      </text>
    </comment>
    <comment ref="F19" authorId="0" shapeId="0" xr:uid="{00000000-0006-0000-0400-000008000000}">
      <text>
        <r>
          <rPr>
            <sz val="10"/>
            <color indexed="81"/>
            <rFont val="Tahoma"/>
            <family val="2"/>
          </rPr>
          <t xml:space="preserve">Minimum Interaural Attenuation (transcanial transmission loss) This depends on stimulus and transducer.
Plus:
Additional age-related IA (TTL) (incomplete skull fusion) applicable to all transducers.
</t>
        </r>
      </text>
    </comment>
    <comment ref="G19" authorId="0" shapeId="0" xr:uid="{00000000-0006-0000-0400-000009000000}">
      <text>
        <r>
          <rPr>
            <sz val="10"/>
            <color indexed="81"/>
            <rFont val="Tahoma"/>
            <family val="2"/>
          </rPr>
          <t>Additional age-related correction when inserts are used as the noise  transducer. 
Depends on age.</t>
        </r>
      </text>
    </comment>
    <comment ref="H19" authorId="0" shapeId="0" xr:uid="{00000000-0006-0000-0400-00000A000000}">
      <text>
        <r>
          <rPr>
            <sz val="10"/>
            <color indexed="81"/>
            <rFont val="Tahoma"/>
            <family val="2"/>
          </rPr>
          <t xml:space="preserve">Nc is the noise calibration offset for the selected system and noise transducer. This is set by the manufacturer - there is no international standard for white noise. 
</t>
        </r>
      </text>
    </comment>
    <comment ref="I19" authorId="0" shapeId="0" xr:uid="{00000000-0006-0000-0400-00000B000000}">
      <text>
        <r>
          <rPr>
            <sz val="10"/>
            <color indexed="81"/>
            <rFont val="Tahoma"/>
            <family val="2"/>
          </rPr>
          <t>The result has been rounded to the nearest 5dB step</t>
        </r>
      </text>
    </comment>
    <comment ref="J19" authorId="0" shapeId="0" xr:uid="{00000000-0006-0000-0400-00000C000000}">
      <text>
        <r>
          <rPr>
            <sz val="10"/>
            <color indexed="81"/>
            <rFont val="Tahoma"/>
            <family val="2"/>
          </rPr>
          <t xml:space="preserve">Some systems have the option of setting the noise level as an "offset" - this is handy since changes in the stimulus level automatically change the noise level (synchronous masking)
</t>
        </r>
      </text>
    </comment>
    <comment ref="C23" authorId="0" shapeId="0" xr:uid="{00000000-0006-0000-0400-00000D000000}">
      <text>
        <r>
          <rPr>
            <sz val="8"/>
            <color indexed="81"/>
            <rFont val="Tahoma"/>
            <family val="2"/>
          </rPr>
          <t>Level of noise that will just not totally mask the stimulus in the same ear of any subject. Used in assessing risk of cross-masking.
Assumes stimulus in dBnHL  and noise in dBSPL.
Data Table 2.</t>
        </r>
      </text>
    </comment>
    <comment ref="A24" authorId="0" shapeId="0" xr:uid="{00000000-0006-0000-0400-00000E000000}">
      <text>
        <r>
          <rPr>
            <sz val="8"/>
            <color indexed="81"/>
            <rFont val="Tahoma"/>
            <family val="2"/>
          </rPr>
          <t>Age-related insert transducer SPL lift correction for age. Applies to stimulus &amp; noise when applied via inserts.
Data Table 5. 
Depends on age &amp; stimulus.</t>
        </r>
        <r>
          <rPr>
            <sz val="10"/>
            <color indexed="81"/>
            <rFont val="Tahoma"/>
            <family val="2"/>
          </rPr>
          <t xml:space="preserve">
</t>
        </r>
      </text>
    </comment>
    <comment ref="C24" authorId="0" shapeId="0" xr:uid="{00000000-0006-0000-0400-00000F000000}">
      <text>
        <r>
          <rPr>
            <sz val="8"/>
            <color indexed="81"/>
            <rFont val="Tahoma"/>
            <family val="2"/>
          </rPr>
          <t>Level of noise guaranteed to mask the stimulus in the same ear in all subjects.
Assumes stimulus in dBnHL  and noise in dBSPL.
Data Table 2.</t>
        </r>
      </text>
    </comment>
    <comment ref="A25" authorId="0" shapeId="0" xr:uid="{00000000-0006-0000-0400-000010000000}">
      <text>
        <r>
          <rPr>
            <sz val="8"/>
            <color indexed="81"/>
            <rFont val="Tahoma"/>
            <family val="2"/>
          </rPr>
          <t>Nc is the noise calibration offset for the selected system. 
Data Table 1.
Depends on selected noise transducer</t>
        </r>
      </text>
    </comment>
    <comment ref="C25" authorId="0" shapeId="0" xr:uid="{00000000-0006-0000-0400-000011000000}">
      <text>
        <r>
          <rPr>
            <sz val="8"/>
            <color indexed="81"/>
            <rFont val="Tahoma"/>
            <family val="2"/>
          </rPr>
          <t>Air-bone gap in the non-test ear. Noise needs to be increased by this amount to overcome the effect of conductive element in the ear being masked.</t>
        </r>
      </text>
    </comment>
    <comment ref="A26" authorId="0" shapeId="0" xr:uid="{00000000-0006-0000-0400-000012000000}">
      <text>
        <r>
          <rPr>
            <sz val="8"/>
            <color indexed="81"/>
            <rFont val="Tahoma"/>
            <family val="2"/>
          </rPr>
          <t>BC lift caused by incomplete cranial bone fusion.
Data Table 6.
Click data based on Webb (1993).
This value is included in the equation only when BC is used.</t>
        </r>
      </text>
    </comment>
    <comment ref="C26" authorId="0" shapeId="0" xr:uid="{00000000-0006-0000-0400-000013000000}">
      <text>
        <r>
          <rPr>
            <sz val="8"/>
            <color indexed="81"/>
            <rFont val="Tahoma"/>
            <family val="2"/>
          </rPr>
          <t>Minimum interaural attenuation (transcanial transmission loss) for the stimulus.
Data Table 3. 
Depends on transducer and stimulus.</t>
        </r>
      </text>
    </comment>
    <comment ref="A27" authorId="0" shapeId="0" xr:uid="{00000000-0006-0000-0400-000014000000}">
      <text>
        <r>
          <rPr>
            <sz val="8"/>
            <color indexed="81"/>
            <rFont val="Tahoma"/>
            <family val="2"/>
          </rPr>
          <t xml:space="preserve">For information only.
Applies NHSP corrections for click BC/Insert age effects and nHL-eHL offsets. 
</t>
        </r>
      </text>
    </comment>
    <comment ref="C27" authorId="0" shapeId="0" xr:uid="{00000000-0006-0000-0400-000015000000}">
      <text>
        <r>
          <rPr>
            <sz val="8"/>
            <color indexed="81"/>
            <rFont val="Tahoma"/>
            <family val="2"/>
          </rPr>
          <t>Minimum interaural attenuation (transcanial transmission loss) for the noise.
Data Table 3. 
Depends on transducer and stimulus.</t>
        </r>
        <r>
          <rPr>
            <sz val="10"/>
            <color indexed="81"/>
            <rFont val="Tahoma"/>
            <family val="2"/>
          </rPr>
          <t xml:space="preserve">
</t>
        </r>
      </text>
    </comment>
    <comment ref="A28" authorId="0" shapeId="0" xr:uid="{00000000-0006-0000-0400-000016000000}">
      <text>
        <r>
          <rPr>
            <sz val="8"/>
            <color indexed="81"/>
            <rFont val="Tahoma"/>
            <family val="2"/>
          </rPr>
          <t>Maximum stimulus level in dBeHL reaching non-test cochlea.
This is helpful when deciding whether masking is necessary.</t>
        </r>
        <r>
          <rPr>
            <sz val="10"/>
            <color indexed="81"/>
            <rFont val="Tahoma"/>
            <family val="2"/>
          </rPr>
          <t xml:space="preserve">
</t>
        </r>
      </text>
    </comment>
    <comment ref="C28" authorId="0" shapeId="0" xr:uid="{00000000-0006-0000-0400-000017000000}">
      <text>
        <r>
          <rPr>
            <sz val="8"/>
            <color indexed="81"/>
            <rFont val="Tahoma"/>
            <family val="2"/>
          </rPr>
          <t>Additional age-related IA (TTL).
Applicable to all transducers.
Data Table 4: 
IA depends on age &amp; stimulus</t>
        </r>
        <r>
          <rPr>
            <sz val="10"/>
            <color indexed="81"/>
            <rFont val="Tahoma"/>
            <family val="2"/>
          </rPr>
          <t xml:space="preserve">
</t>
        </r>
      </text>
    </comment>
    <comment ref="C29" authorId="0" shapeId="0" xr:uid="{00000000-0006-0000-0400-000018000000}">
      <text>
        <r>
          <rPr>
            <sz val="8"/>
            <color indexed="81"/>
            <rFont val="Tahoma"/>
            <family val="2"/>
          </rPr>
          <t>Used in calculating the risk of cross-masking. Maximum noise level at the test ear cochlea in dB SPL</t>
        </r>
        <r>
          <rPr>
            <sz val="10"/>
            <color indexed="81"/>
            <rFont val="Tahoma"/>
            <family val="2"/>
          </rPr>
          <t xml:space="preserve">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Guy Lightfoot</author>
  </authors>
  <commentList>
    <comment ref="B10" authorId="0" shapeId="0" xr:uid="{00000000-0006-0000-0600-000001000000}">
      <text>
        <r>
          <rPr>
            <sz val="10"/>
            <color indexed="81"/>
            <rFont val="Tahoma"/>
            <family val="2"/>
          </rPr>
          <t xml:space="preserve">Enter your system's noise dBSPL above the dial level, measured in an NBS 9A 6cc coupler
</t>
        </r>
      </text>
    </comment>
    <comment ref="C10" authorId="0" shapeId="0" xr:uid="{00000000-0006-0000-0600-000002000000}">
      <text>
        <r>
          <rPr>
            <sz val="10"/>
            <color indexed="81"/>
            <rFont val="Tahoma"/>
            <family val="2"/>
          </rPr>
          <t xml:space="preserve">Enter your system's noise dBSPL above the dial level, measured in an HA-2 2cc coupler
</t>
        </r>
      </text>
    </comment>
    <comment ref="D10" authorId="0" shapeId="0" xr:uid="{00000000-0006-0000-0600-000003000000}">
      <text>
        <r>
          <rPr>
            <sz val="10"/>
            <color indexed="81"/>
            <rFont val="Tahoma"/>
            <family val="2"/>
          </rPr>
          <t xml:space="preserve">Enter your system's noise dBSPL above the dial level, measured in a 711 occluded ear simulator then subtract 9dB and enter that value in the cell to the left
</t>
        </r>
      </text>
    </comment>
  </commentList>
</comments>
</file>

<file path=xl/sharedStrings.xml><?xml version="1.0" encoding="utf-8"?>
<sst xmlns="http://schemas.openxmlformats.org/spreadsheetml/2006/main" count="528" uniqueCount="167">
  <si>
    <t xml:space="preserve">Nc = </t>
  </si>
  <si>
    <t>Click</t>
  </si>
  <si>
    <t>Equation:</t>
  </si>
  <si>
    <t>Result</t>
  </si>
  <si>
    <t>-Nc</t>
  </si>
  <si>
    <t>Instructions:</t>
  </si>
  <si>
    <t>-Nt</t>
  </si>
  <si>
    <t xml:space="preserve">Nt = </t>
  </si>
  <si>
    <t>Stim(dBnHL)</t>
  </si>
  <si>
    <t>+dBage</t>
  </si>
  <si>
    <t>Notes:</t>
  </si>
  <si>
    <t>Table 1: ABR system noise calibration. dB SPL noise for 0dBdial</t>
  </si>
  <si>
    <t>System</t>
  </si>
  <si>
    <t>Nc Phones</t>
  </si>
  <si>
    <t>GN EP200/Chartr</t>
  </si>
  <si>
    <t>Stimulus</t>
  </si>
  <si>
    <t>Corrected age (weeks)</t>
  </si>
  <si>
    <t>See also notes on Data Sheet</t>
  </si>
  <si>
    <t>Disclaimer: the author has produced this in good faith but can accept no responsibility for errors or inappropriate use.</t>
  </si>
  <si>
    <t xml:space="preserve">dBnHL Stimulus Level: </t>
  </si>
  <si>
    <t>Table 7. Maximum AC stimulus levels</t>
  </si>
  <si>
    <t>Inserts</t>
  </si>
  <si>
    <t>Phones</t>
  </si>
  <si>
    <t>dBnHL</t>
  </si>
  <si>
    <t>Table 5: Insert canal volume SPL lift (used for both stimulus and noise)</t>
  </si>
  <si>
    <t>&lt;-3</t>
  </si>
  <si>
    <t>-3 to -1</t>
  </si>
  <si>
    <t>0 to 2</t>
  </si>
  <si>
    <t>3 to 5</t>
  </si>
  <si>
    <t>6 to 8</t>
  </si>
  <si>
    <t>9 to 12</t>
  </si>
  <si>
    <t>13 to 16</t>
  </si>
  <si>
    <t>Nc Ins/711</t>
  </si>
  <si>
    <t>Nc Ins/2cc</t>
  </si>
  <si>
    <t>Offset</t>
  </si>
  <si>
    <t>Interacoustics Eclipse</t>
  </si>
  <si>
    <t>GSI Audera</t>
  </si>
  <si>
    <t>Vivosonic Integrity</t>
  </si>
  <si>
    <t xml:space="preserve">ABGnt = </t>
  </si>
  <si>
    <t>+ABGnt</t>
  </si>
  <si>
    <t xml:space="preserve">BC age correction = </t>
  </si>
  <si>
    <t xml:space="preserve">Stimulus dBeHLnt = </t>
  </si>
  <si>
    <t xml:space="preserve">Stimulus dBeHL = </t>
  </si>
  <si>
    <r>
      <t>dB</t>
    </r>
    <r>
      <rPr>
        <vertAlign val="subscript"/>
        <sz val="10"/>
        <rFont val="Arial"/>
        <family val="2"/>
      </rPr>
      <t>noise</t>
    </r>
    <r>
      <rPr>
        <sz val="10"/>
        <rFont val="Arial"/>
        <family val="2"/>
      </rPr>
      <t xml:space="preserve"> = </t>
    </r>
  </si>
  <si>
    <t>5. Masking is needed if the stimulus level reaching the non-test cochlea exceeds the non-test BC ABR threshold (both in dBeHL).</t>
  </si>
  <si>
    <t xml:space="preserve">Max noise SPL crossing to test cochlea = </t>
  </si>
  <si>
    <t xml:space="preserve">6. Cross-masking is considered a posibility if the noise SPL reaching the test ear cochlea exceeds the corrected stimulus level (in dBnHL) reaching the test ear cochlea plus the lower EML minus 20dB (moderate risk) or 10dB (high risk) </t>
  </si>
  <si>
    <t>Variables for the current settings (dB):</t>
  </si>
  <si>
    <t>Custom</t>
  </si>
  <si>
    <t>Notes: Based on a sample of available systems (6cc NBS 9A and 2cc HA-2 couplers) or manufacturer information and assumes the noise calibration of your system is similar - check with your calibration agent. Ensure any "offset" in the test protocol is zero when calibrating the noise level and that the transducer type being used matches the type for the calibration file. Custom values may be entered if desired.</t>
  </si>
  <si>
    <r>
      <t>RML</t>
    </r>
    <r>
      <rPr>
        <b/>
        <vertAlign val="subscript"/>
        <sz val="10"/>
        <rFont val="Arial"/>
        <family val="2"/>
      </rPr>
      <t>upper</t>
    </r>
  </si>
  <si>
    <r>
      <t>RML</t>
    </r>
    <r>
      <rPr>
        <b/>
        <vertAlign val="subscript"/>
        <sz val="10"/>
        <rFont val="Arial"/>
        <family val="2"/>
      </rPr>
      <t>lower</t>
    </r>
  </si>
  <si>
    <t>+RML</t>
  </si>
  <si>
    <r>
      <t>RML</t>
    </r>
    <r>
      <rPr>
        <vertAlign val="subscript"/>
        <sz val="8"/>
        <color indexed="55"/>
        <rFont val="Arial"/>
        <family val="2"/>
      </rPr>
      <t>lower</t>
    </r>
    <r>
      <rPr>
        <sz val="8"/>
        <color indexed="55"/>
        <rFont val="Arial"/>
        <family val="2"/>
      </rPr>
      <t xml:space="preserve"> = </t>
    </r>
  </si>
  <si>
    <r>
      <t>RML</t>
    </r>
    <r>
      <rPr>
        <vertAlign val="subscript"/>
        <sz val="8"/>
        <color indexed="55"/>
        <rFont val="Arial"/>
        <family val="2"/>
      </rPr>
      <t>upper</t>
    </r>
    <r>
      <rPr>
        <sz val="8"/>
        <color indexed="55"/>
        <rFont val="Arial"/>
        <family val="2"/>
      </rPr>
      <t xml:space="preserve"> = </t>
    </r>
  </si>
  <si>
    <t>-IA</t>
  </si>
  <si>
    <t xml:space="preserve">IAs = </t>
  </si>
  <si>
    <t xml:space="preserve">IAn = </t>
  </si>
  <si>
    <t xml:space="preserve">IAa = </t>
  </si>
  <si>
    <t>Table 3: Minimum adult IAs versus transducer &amp; stimulus</t>
  </si>
  <si>
    <t>Table 4: IAa. Additional age-related minimum IA versus stimulus</t>
  </si>
  <si>
    <t>IA phones</t>
  </si>
  <si>
    <t>IA inserts</t>
  </si>
  <si>
    <t>IA BC</t>
  </si>
  <si>
    <t>dBeHL</t>
  </si>
  <si>
    <t>Revision history:</t>
  </si>
  <si>
    <t>Table 8. nHL-eHL offsets</t>
  </si>
  <si>
    <t>dB</t>
  </si>
  <si>
    <t>&gt;104</t>
  </si>
  <si>
    <t>17 to 24</t>
  </si>
  <si>
    <t>4k</t>
  </si>
  <si>
    <t>2k</t>
  </si>
  <si>
    <t>1k</t>
  </si>
  <si>
    <t>Wband</t>
  </si>
  <si>
    <t>Freq</t>
  </si>
  <si>
    <t>Label</t>
  </si>
  <si>
    <t>WBand</t>
  </si>
  <si>
    <r>
      <t>Result</t>
    </r>
    <r>
      <rPr>
        <sz val="10"/>
        <rFont val="Arial"/>
        <family val="2"/>
      </rPr>
      <t xml:space="preserve"> is the dB "dial" level of noise for the selected system, stimulus type, transducer, corrected age &amp; stimulus level</t>
    </r>
  </si>
  <si>
    <t>CE-Chirp</t>
  </si>
  <si>
    <t>4k CE-Chirp</t>
  </si>
  <si>
    <t>2k CE-Chirp</t>
  </si>
  <si>
    <t>1k CE-Chirp</t>
  </si>
  <si>
    <t>500 CE-Chirp</t>
  </si>
  <si>
    <t>Don't have Microsoft Excel on your ABR system? (you must be using another computer at the moment, otherwise you wouldn't be reading this!)</t>
  </si>
  <si>
    <t>dBeHL non-test BC ABR threshold:</t>
  </si>
  <si>
    <t>Non-test ear air-bone gap, dB:</t>
  </si>
  <si>
    <t>Test ear air-bone gap, dB:</t>
  </si>
  <si>
    <t>Patient corrected age (weeks):</t>
  </si>
  <si>
    <t>Stimulus type:</t>
  </si>
  <si>
    <t>Noise Transducer:</t>
  </si>
  <si>
    <t>Stimulus Transducer:</t>
  </si>
  <si>
    <t>ABR System:</t>
  </si>
  <si>
    <t>Warning! High Noise Level</t>
  </si>
  <si>
    <t>Warning! Stimulus level exceeds recommended maximum:</t>
  </si>
  <si>
    <t>25 to 104</t>
  </si>
  <si>
    <r>
      <t>Offset</t>
    </r>
    <r>
      <rPr>
        <sz val="10"/>
        <rFont val="Arial"/>
        <family val="2"/>
      </rPr>
      <t xml:space="preserve"> is an alternative way of specifying noise level: it is the dB noise level relative to the stimulus level</t>
    </r>
  </si>
  <si>
    <t>You can download a free Excel viewer (you may need to ask your friendly local IT department to do this for you) for computers or as a smartphone app</t>
  </si>
  <si>
    <t>This calculator is a time-saving guide; the user must carry clinical responsibility for any decisions they make</t>
  </si>
  <si>
    <t>Variables for the current settings (dB), based on 500Hz:</t>
  </si>
  <si>
    <t>Stimulus levels across frequencies:</t>
  </si>
  <si>
    <t>4kHz</t>
  </si>
  <si>
    <t>2kHz</t>
  </si>
  <si>
    <t>1kHz</t>
  </si>
  <si>
    <t>500Hz</t>
  </si>
  <si>
    <t>Stimulus levels at each frequency, dBnHL:</t>
  </si>
  <si>
    <t xml:space="preserve">Stimulus Level, dBnHL: </t>
  </si>
  <si>
    <t>Click in pale yellow  cells to enter options and appropriate levels then press Enter / Return</t>
  </si>
  <si>
    <t>Include or exclude 500Hz?:</t>
  </si>
  <si>
    <r>
      <t>RML</t>
    </r>
    <r>
      <rPr>
        <vertAlign val="subscript"/>
        <sz val="8"/>
        <color theme="0"/>
        <rFont val="Arial"/>
        <family val="2"/>
      </rPr>
      <t>lower</t>
    </r>
    <r>
      <rPr>
        <sz val="8"/>
        <color theme="0"/>
        <rFont val="Arial"/>
        <family val="2"/>
      </rPr>
      <t xml:space="preserve"> = </t>
    </r>
  </si>
  <si>
    <r>
      <t>RML</t>
    </r>
    <r>
      <rPr>
        <vertAlign val="subscript"/>
        <sz val="8"/>
        <color theme="0"/>
        <rFont val="Arial"/>
        <family val="2"/>
      </rPr>
      <t>upper</t>
    </r>
    <r>
      <rPr>
        <sz val="8"/>
        <color theme="0"/>
        <rFont val="Arial"/>
        <family val="2"/>
      </rPr>
      <t xml:space="preserve"> = </t>
    </r>
  </si>
  <si>
    <t>This is not a medical device; testers should use their own clinical judgement when performing tests on patients.</t>
  </si>
  <si>
    <r>
      <rPr>
        <b/>
        <sz val="10"/>
        <color indexed="10"/>
        <rFont val="Arial"/>
        <family val="2"/>
      </rPr>
      <t>Warning</t>
    </r>
    <r>
      <rPr>
        <b/>
        <sz val="10"/>
        <rFont val="Arial"/>
        <family val="2"/>
      </rPr>
      <t xml:space="preserve">: </t>
    </r>
    <r>
      <rPr>
        <sz val="10"/>
        <rFont val="Arial"/>
        <family val="2"/>
      </rPr>
      <t>some variables will be unknown (e.g. air-bone gaps) so enter several likely values; if in doubt use the higher noise level</t>
    </r>
  </si>
  <si>
    <t>Include 500</t>
  </si>
  <si>
    <t xml:space="preserve">       Noise Level</t>
  </si>
  <si>
    <r>
      <t>Noise Level</t>
    </r>
    <r>
      <rPr>
        <sz val="10"/>
        <rFont val="Arial"/>
        <family val="2"/>
      </rPr>
      <t xml:space="preserve"> is the suggested dB SPL level of noise for the stimulus type, transducer, corrected age &amp; stimulus level</t>
    </r>
  </si>
  <si>
    <t>Message</t>
  </si>
  <si>
    <t>Area</t>
  </si>
  <si>
    <r>
      <t>ASSR</t>
    </r>
    <r>
      <rPr>
        <b/>
        <vertAlign val="superscript"/>
        <sz val="16"/>
        <color theme="0"/>
        <rFont val="Arial"/>
        <family val="2"/>
      </rPr>
      <t>(MT)</t>
    </r>
    <r>
      <rPr>
        <b/>
        <sz val="16"/>
        <color theme="0"/>
        <rFont val="Arial"/>
        <family val="2"/>
      </rPr>
      <t xml:space="preserve"> Masking Noise Calculator</t>
    </r>
  </si>
  <si>
    <r>
      <t>dB</t>
    </r>
    <r>
      <rPr>
        <vertAlign val="subscript"/>
        <sz val="10"/>
        <color rgb="FFCCCCFF"/>
        <rFont val="Arial"/>
        <family val="2"/>
      </rPr>
      <t>noise</t>
    </r>
    <r>
      <rPr>
        <sz val="10"/>
        <color rgb="FFCCCCFF"/>
        <rFont val="Arial"/>
        <family val="2"/>
      </rPr>
      <t xml:space="preserve"> = </t>
    </r>
  </si>
  <si>
    <r>
      <t>ASSR</t>
    </r>
    <r>
      <rPr>
        <b/>
        <vertAlign val="superscript"/>
        <sz val="16"/>
        <color theme="0"/>
        <rFont val="Arial"/>
        <family val="2"/>
      </rPr>
      <t>(MT)</t>
    </r>
    <r>
      <rPr>
        <b/>
        <sz val="16"/>
        <color theme="0"/>
        <rFont val="Arial"/>
        <family val="2"/>
      </rPr>
      <t xml:space="preserve"> Masking Noise Calculator - 4kHz</t>
    </r>
  </si>
  <si>
    <r>
      <t>ASSR</t>
    </r>
    <r>
      <rPr>
        <b/>
        <vertAlign val="superscript"/>
        <sz val="16"/>
        <color theme="0"/>
        <rFont val="Arial"/>
        <family val="2"/>
      </rPr>
      <t>(MT)</t>
    </r>
    <r>
      <rPr>
        <b/>
        <sz val="16"/>
        <color theme="0"/>
        <rFont val="Arial"/>
        <family val="2"/>
      </rPr>
      <t xml:space="preserve"> Masking Noise Calculator - 2kHz</t>
    </r>
  </si>
  <si>
    <r>
      <t>ASSR</t>
    </r>
    <r>
      <rPr>
        <b/>
        <vertAlign val="superscript"/>
        <sz val="16"/>
        <color theme="0"/>
        <rFont val="Arial"/>
        <family val="2"/>
      </rPr>
      <t>(MT)</t>
    </r>
    <r>
      <rPr>
        <b/>
        <sz val="16"/>
        <color theme="0"/>
        <rFont val="Arial"/>
        <family val="2"/>
      </rPr>
      <t xml:space="preserve"> Masking Noise Calculator - 1kHz</t>
    </r>
  </si>
  <si>
    <r>
      <t>ASSR</t>
    </r>
    <r>
      <rPr>
        <b/>
        <vertAlign val="superscript"/>
        <sz val="16"/>
        <color theme="0"/>
        <rFont val="Arial"/>
        <family val="2"/>
      </rPr>
      <t>(MT)</t>
    </r>
    <r>
      <rPr>
        <b/>
        <sz val="16"/>
        <color theme="0"/>
        <rFont val="Arial"/>
        <family val="2"/>
      </rPr>
      <t xml:space="preserve"> Masking Noise Calculator - 500Hz</t>
    </r>
  </si>
  <si>
    <t>Biologic MASTER</t>
  </si>
  <si>
    <t>NeuroAudio</t>
  </si>
  <si>
    <t>GSI AuderaPro</t>
  </si>
  <si>
    <t>4k tone</t>
  </si>
  <si>
    <t>2k tone</t>
  </si>
  <si>
    <t>1k tone</t>
  </si>
  <si>
    <t>500 tone</t>
  </si>
  <si>
    <t xml:space="preserve">Table 6. BC age correction. </t>
  </si>
  <si>
    <t>Exclude 500</t>
  </si>
  <si>
    <r>
      <t xml:space="preserve"> Warning! </t>
    </r>
    <r>
      <rPr>
        <sz val="10"/>
        <color rgb="FFCCCCFF"/>
        <rFont val="Arial"/>
        <family val="2"/>
      </rPr>
      <t>Exclude 500Hz in BC tests</t>
    </r>
  </si>
  <si>
    <t xml:space="preserve">Notes.  1k &amp; 500Hz: Data from study by Ferm 2013. Applicable to clicks, tones &amp; chirps. </t>
  </si>
  <si>
    <t>2. In ASSR tests, when using stimulus levels above 80dB always revert to single frequency testing.</t>
  </si>
  <si>
    <t>3. Assumptions: ASSR stimuli are calibrated to ISO 389-1/2/3 (pure tones) without modulation.</t>
  </si>
  <si>
    <t>2020: Adapted from the ABR Noise Calculator. For use only with 40Hz &amp; 90Hz modulated tone ASSR stimuli. Not suitable for chirp stimuli.</t>
  </si>
  <si>
    <t>Table 2: RML values             Assumes noise calibrated in SPL</t>
  </si>
  <si>
    <t>Insert</t>
  </si>
  <si>
    <t>Only for use with modulated tone stimuli</t>
  </si>
  <si>
    <t>Vivosonic uses their own chirps but switches to tones at high levels so this calculator applies only to high stim levels, with modulated tones</t>
  </si>
  <si>
    <t>ASSR Equipment</t>
  </si>
  <si>
    <t>dBeHL non-test BC threshold:</t>
  </si>
  <si>
    <t>The noise level at each frequency is calculated and the highest is suggested. Noise is calibrated in dB SPL (BioLogic in HL).</t>
  </si>
  <si>
    <t>Disclaimer: this utility has produced to aid testers but the author can accept no responsibility for errors or inappropriate use.</t>
  </si>
  <si>
    <t>Please email comments, further data, errors &amp; omisions to:</t>
  </si>
  <si>
    <t xml:space="preserve">admin@eratraining.co.uk </t>
  </si>
  <si>
    <t>All systems use modulated tone stimuli</t>
  </si>
  <si>
    <t xml:space="preserve">Notes: Modified from BSA Early Assessment Guidelines, 2020. The spreadsheet applies these levels up to 24 weeks corrected age. The reference levels for tone pip and continuous tone stimuli are at least 10dB apart so the above maximum levels are cautious. </t>
  </si>
  <si>
    <t>Offsets vary by system, method and state of patient. If you have your own reference data, enter it here. The BSA default values are:            4k tone: 25dB                 2k tone: 20dB                  1k tone: 25dB                 500 tone: 25dB</t>
  </si>
  <si>
    <t>From BSA Early Assessment 2020 at low levels (phones) i.e. do not include offsets for inserts or BC (added separately)</t>
  </si>
  <si>
    <t xml:space="preserve">Notes. From BSA Early Assessment Guidelines, 2020. Further research is needed to further refine these data. </t>
  </si>
  <si>
    <t>From ABR noise calculator. Notes: Data on how IA changes with frequency is incomplete. Further research is needed. Source: TDH: average of a number of published studies for pure tones, lower 95% confidence level. Inserts: Munro &amp; Contractor, 2010, minimum of range in 15 subjects. BC: 0dB taken as conservative value.  2012: TDH &amp; insert IA values have been reduced by 10dB at all frequencies to address concerns over undermasking by AC.</t>
  </si>
  <si>
    <t>Noise in each third-octave band will be 13-17dB below WB level (Lightfoot 2010, Fig 1). For RML upper, add + 5dB for effectiveness plus the values given in ISO 389-4.                            RML lower are these minus the upper-lower range given in Lightfoot et all 2010</t>
  </si>
  <si>
    <t>The corrections in Table 8 on the Data tab may not be optimum for Adult 90Hz &amp; 40Hz tests. If you have figures you would prefer to use, enter them in Table 8.</t>
  </si>
  <si>
    <t>4. Warning of stimulus level exceeding BSA recommended maximum appears for all ages except &gt;24 weeks.</t>
  </si>
  <si>
    <t>7. The corrections in Table 8 on the Data tab may not be optimum for Adult 90Hz &amp; 40Hz tests. If you have figures you would prefer to use, enter them in Table 8.</t>
  </si>
  <si>
    <t>1. ASSR corrections, BC &amp; Insert age corrections taken from BSA 2020 Early Assessment Guidelines.</t>
  </si>
  <si>
    <t>Various</t>
  </si>
  <si>
    <t>www.eratraining.co.uk/</t>
  </si>
  <si>
    <t xml:space="preserve">For ERA/ABR courses, peer review training/addreditation &amp; clinical support please visit  </t>
  </si>
  <si>
    <t>Warning! Stimulus level exceeds recommended maximum</t>
  </si>
  <si>
    <t>For single frequency tests, select "Various" and at non-test frequencies, enter 0dB</t>
  </si>
  <si>
    <t>2020 version 2: Maximum stimulus level limited to 100dB to avoid potential noise risk or 80dB at multiple frequencies.</t>
  </si>
  <si>
    <t>V3 2024</t>
  </si>
  <si>
    <t>Notes: IA is assumed to be greater in immature skulls because of incomplete fusion of cranial bones. Further research is needed to define how these values change with age and frequency.
Tonal data up to 1 year from Kariv et al 2024.</t>
  </si>
  <si>
    <t>2024 version 3. Updated minimum IA values in table 4 (data tab) from Kariv et al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</si>
</sst>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
  </numFmts>
  <fonts count="46" x14ac:knownFonts="1">
    <font>
      <sz val="10"/>
      <name val="Arial"/>
    </font>
    <font>
      <sz val="10"/>
      <name val="Arial"/>
      <family val="2"/>
    </font>
    <font>
      <b/>
      <sz val="16"/>
      <name val="Arial"/>
      <family val="2"/>
    </font>
    <font>
      <sz val="8"/>
      <name val="Arial"/>
      <family val="2"/>
    </font>
    <font>
      <sz val="10"/>
      <color indexed="81"/>
      <name val="Tahoma"/>
      <family val="2"/>
    </font>
    <font>
      <b/>
      <sz val="10"/>
      <name val="Arial"/>
      <family val="2"/>
    </font>
    <font>
      <sz val="10"/>
      <name val="Arial"/>
      <family val="2"/>
    </font>
    <font>
      <b/>
      <sz val="12"/>
      <color indexed="10"/>
      <name val="Arial"/>
      <family val="2"/>
    </font>
    <font>
      <b/>
      <sz val="10"/>
      <color indexed="9"/>
      <name val="Arial"/>
      <family val="2"/>
    </font>
    <font>
      <sz val="10"/>
      <color indexed="9"/>
      <name val="Arial"/>
      <family val="2"/>
    </font>
    <font>
      <b/>
      <i/>
      <u/>
      <sz val="10"/>
      <name val="Arial"/>
      <family val="2"/>
    </font>
    <font>
      <sz val="8"/>
      <color indexed="55"/>
      <name val="Arial"/>
      <family val="2"/>
    </font>
    <font>
      <sz val="8"/>
      <color indexed="81"/>
      <name val="Tahoma"/>
      <family val="2"/>
    </font>
    <font>
      <b/>
      <sz val="10"/>
      <color indexed="52"/>
      <name val="Arial"/>
      <family val="2"/>
    </font>
    <font>
      <vertAlign val="subscript"/>
      <sz val="10"/>
      <name val="Arial"/>
      <family val="2"/>
    </font>
    <font>
      <i/>
      <u/>
      <sz val="10"/>
      <color indexed="81"/>
      <name val="Tahoma"/>
      <family val="2"/>
    </font>
    <font>
      <b/>
      <vertAlign val="subscript"/>
      <sz val="10"/>
      <name val="Arial"/>
      <family val="2"/>
    </font>
    <font>
      <sz val="10"/>
      <color indexed="55"/>
      <name val="Arial"/>
      <family val="2"/>
    </font>
    <font>
      <vertAlign val="subscript"/>
      <sz val="10"/>
      <color indexed="81"/>
      <name val="Tahoma"/>
      <family val="2"/>
    </font>
    <font>
      <vertAlign val="subscript"/>
      <sz val="8"/>
      <color indexed="55"/>
      <name val="Arial"/>
      <family val="2"/>
    </font>
    <font>
      <sz val="8"/>
      <color indexed="55"/>
      <name val="Arial"/>
      <family val="2"/>
    </font>
    <font>
      <sz val="9"/>
      <color indexed="81"/>
      <name val="Tahoma"/>
      <family val="2"/>
    </font>
    <font>
      <sz val="10"/>
      <color indexed="9"/>
      <name val="Arial"/>
      <family val="2"/>
    </font>
    <font>
      <u/>
      <sz val="8"/>
      <color indexed="55"/>
      <name val="Arial"/>
      <family val="2"/>
    </font>
    <font>
      <sz val="10"/>
      <color indexed="55"/>
      <name val="Arial"/>
      <family val="2"/>
    </font>
    <font>
      <u/>
      <sz val="10"/>
      <color theme="10"/>
      <name val="Arial"/>
      <family val="2"/>
    </font>
    <font>
      <sz val="8"/>
      <color rgb="FF969696"/>
      <name val="Arial"/>
      <family val="2"/>
    </font>
    <font>
      <sz val="10"/>
      <color theme="0"/>
      <name val="Arial"/>
      <family val="2"/>
    </font>
    <font>
      <sz val="8"/>
      <color rgb="FF000000"/>
      <name val="Arial"/>
      <family val="2"/>
    </font>
    <font>
      <b/>
      <sz val="16"/>
      <color theme="0"/>
      <name val="Arial"/>
      <family val="2"/>
    </font>
    <font>
      <sz val="11"/>
      <name val="Calibri"/>
      <family val="2"/>
    </font>
    <font>
      <sz val="8"/>
      <color theme="0"/>
      <name val="Arial"/>
      <family val="2"/>
    </font>
    <font>
      <vertAlign val="subscript"/>
      <sz val="8"/>
      <color theme="0"/>
      <name val="Arial"/>
      <family val="2"/>
    </font>
    <font>
      <u/>
      <sz val="8"/>
      <color rgb="FF969696"/>
      <name val="Arial"/>
      <family val="2"/>
    </font>
    <font>
      <b/>
      <sz val="10"/>
      <color indexed="10"/>
      <name val="Arial"/>
      <family val="2"/>
    </font>
    <font>
      <sz val="2"/>
      <color theme="0"/>
      <name val="Arial"/>
      <family val="2"/>
    </font>
    <font>
      <b/>
      <vertAlign val="superscript"/>
      <sz val="16"/>
      <color theme="0"/>
      <name val="Arial"/>
      <family val="2"/>
    </font>
    <font>
      <sz val="10"/>
      <color rgb="FFCCCCFF"/>
      <name val="Arial"/>
      <family val="2"/>
    </font>
    <font>
      <vertAlign val="subscript"/>
      <sz val="10"/>
      <color rgb="FFCCCCFF"/>
      <name val="Arial"/>
      <family val="2"/>
    </font>
    <font>
      <b/>
      <sz val="10"/>
      <color rgb="FFCCCCFF"/>
      <name val="Arial"/>
      <family val="2"/>
    </font>
    <font>
      <sz val="10"/>
      <color rgb="FFCCFFFF"/>
      <name val="Arial"/>
      <family val="2"/>
    </font>
    <font>
      <b/>
      <sz val="10"/>
      <color rgb="FFCCFFFF"/>
      <name val="Arial"/>
      <family val="2"/>
    </font>
    <font>
      <sz val="10"/>
      <color rgb="FFFFFF99"/>
      <name val="Arial"/>
      <family val="2"/>
    </font>
    <font>
      <b/>
      <sz val="9"/>
      <color indexed="10"/>
      <name val="Arial"/>
      <family val="2"/>
    </font>
    <font>
      <u/>
      <sz val="8"/>
      <color theme="10"/>
      <name val="Arial"/>
      <family val="2"/>
    </font>
    <font>
      <sz val="10"/>
      <color rgb="FFFF0000"/>
      <name val="Arial"/>
      <family val="2"/>
    </font>
  </fonts>
  <fills count="15">
    <fill>
      <patternFill patternType="none"/>
    </fill>
    <fill>
      <patternFill patternType="gray125"/>
    </fill>
    <fill>
      <patternFill patternType="solid">
        <fgColor indexed="51"/>
        <bgColor indexed="64"/>
      </patternFill>
    </fill>
    <fill>
      <patternFill patternType="solid">
        <fgColor indexed="52"/>
        <bgColor indexed="64"/>
      </patternFill>
    </fill>
    <fill>
      <patternFill patternType="solid">
        <fgColor indexed="43"/>
        <bgColor indexed="64"/>
      </patternFill>
    </fill>
    <fill>
      <patternFill patternType="solid">
        <fgColor indexed="41"/>
        <bgColor indexed="64"/>
      </patternFill>
    </fill>
    <fill>
      <patternFill patternType="solid">
        <fgColor indexed="13"/>
        <bgColor indexed="64"/>
      </patternFill>
    </fill>
    <fill>
      <patternFill patternType="solid">
        <fgColor rgb="FFFFCC00"/>
        <bgColor indexed="64"/>
      </patternFill>
    </fill>
    <fill>
      <patternFill patternType="solid">
        <fgColor rgb="FFFFFF99"/>
        <bgColor indexed="64"/>
      </patternFill>
    </fill>
    <fill>
      <patternFill patternType="solid">
        <fgColor rgb="FFCCFFFF"/>
        <bgColor indexed="64"/>
      </patternFill>
    </fill>
    <fill>
      <patternFill patternType="solid">
        <fgColor rgb="FFFFC000"/>
        <bgColor indexed="64"/>
      </patternFill>
    </fill>
    <fill>
      <patternFill patternType="solid">
        <fgColor rgb="FFFFFF00"/>
        <bgColor indexed="64"/>
      </patternFill>
    </fill>
    <fill>
      <patternFill patternType="solid">
        <fgColor theme="0"/>
        <bgColor indexed="64"/>
      </patternFill>
    </fill>
    <fill>
      <patternFill patternType="solid">
        <fgColor rgb="FF7030A0"/>
        <bgColor indexed="64"/>
      </patternFill>
    </fill>
    <fill>
      <patternFill patternType="solid">
        <fgColor rgb="FFCCCCFF"/>
        <bgColor indexed="64"/>
      </patternFill>
    </fill>
  </fills>
  <borders count="30">
    <border>
      <left/>
      <right/>
      <top/>
      <bottom/>
      <diagonal/>
    </border>
    <border>
      <left/>
      <right/>
      <top style="medium">
        <color indexed="64"/>
      </top>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25" fillId="0" borderId="0" applyNumberFormat="0" applyFill="0" applyBorder="0" applyAlignment="0" applyProtection="0"/>
  </cellStyleXfs>
  <cellXfs count="251">
    <xf numFmtId="0" fontId="0" fillId="0" borderId="0" xfId="0"/>
    <xf numFmtId="0" fontId="0" fillId="0" borderId="0" xfId="0" applyAlignment="1">
      <alignment horizontal="left"/>
    </xf>
    <xf numFmtId="0" fontId="0" fillId="4" borderId="5" xfId="0" applyFill="1" applyBorder="1" applyAlignment="1">
      <alignment horizontal="center"/>
    </xf>
    <xf numFmtId="0" fontId="0" fillId="4" borderId="0" xfId="0" applyFill="1" applyAlignment="1">
      <alignment horizontal="center"/>
    </xf>
    <xf numFmtId="0" fontId="0" fillId="4" borderId="6" xfId="0" applyFill="1" applyBorder="1" applyAlignment="1">
      <alignment horizontal="center"/>
    </xf>
    <xf numFmtId="0" fontId="0" fillId="4" borderId="7" xfId="0" applyFill="1" applyBorder="1" applyAlignment="1">
      <alignment horizontal="center"/>
    </xf>
    <xf numFmtId="0" fontId="0" fillId="4" borderId="2" xfId="0" applyFill="1" applyBorder="1" applyAlignment="1">
      <alignment horizontal="center"/>
    </xf>
    <xf numFmtId="0" fontId="0" fillId="4" borderId="8" xfId="0" applyFill="1" applyBorder="1" applyAlignment="1">
      <alignment horizontal="center"/>
    </xf>
    <xf numFmtId="0" fontId="5" fillId="4" borderId="1" xfId="0" applyFont="1" applyFill="1" applyBorder="1" applyAlignment="1">
      <alignment horizontal="center"/>
    </xf>
    <xf numFmtId="0" fontId="5" fillId="4" borderId="9" xfId="0" applyFont="1" applyFill="1" applyBorder="1" applyAlignment="1">
      <alignment horizontal="center"/>
    </xf>
    <xf numFmtId="0" fontId="5" fillId="5" borderId="5" xfId="0" applyFont="1" applyFill="1" applyBorder="1" applyAlignment="1">
      <alignment horizontal="center"/>
    </xf>
    <xf numFmtId="0" fontId="0" fillId="5" borderId="6" xfId="0" applyFill="1" applyBorder="1" applyAlignment="1">
      <alignment horizontal="center"/>
    </xf>
    <xf numFmtId="0" fontId="0" fillId="5" borderId="8" xfId="0" applyFill="1" applyBorder="1" applyAlignment="1">
      <alignment horizontal="center"/>
    </xf>
    <xf numFmtId="0" fontId="5" fillId="5" borderId="0" xfId="0" applyFont="1" applyFill="1" applyAlignment="1">
      <alignment horizontal="center"/>
    </xf>
    <xf numFmtId="0" fontId="0" fillId="5" borderId="0" xfId="0" applyFill="1" applyAlignment="1">
      <alignment horizontal="center"/>
    </xf>
    <xf numFmtId="0" fontId="10" fillId="0" borderId="0" xfId="0" applyFont="1"/>
    <xf numFmtId="49" fontId="0" fillId="5" borderId="5" xfId="0" applyNumberFormat="1" applyFill="1" applyBorder="1" applyAlignment="1">
      <alignment horizontal="center"/>
    </xf>
    <xf numFmtId="49" fontId="0" fillId="5" borderId="0" xfId="0" applyNumberFormat="1" applyFill="1" applyAlignment="1">
      <alignment horizontal="center"/>
    </xf>
    <xf numFmtId="49" fontId="9" fillId="0" borderId="0" xfId="0" applyNumberFormat="1" applyFont="1"/>
    <xf numFmtId="0" fontId="11" fillId="0" borderId="0" xfId="0" applyFont="1"/>
    <xf numFmtId="0" fontId="5" fillId="3" borderId="4" xfId="0" applyFont="1" applyFill="1" applyBorder="1" applyAlignment="1" applyProtection="1">
      <alignment horizontal="center"/>
      <protection hidden="1"/>
    </xf>
    <xf numFmtId="164" fontId="1" fillId="0" borderId="0" xfId="0" applyNumberFormat="1" applyFont="1" applyProtection="1">
      <protection hidden="1"/>
    </xf>
    <xf numFmtId="49" fontId="1" fillId="0" borderId="0" xfId="0" applyNumberFormat="1" applyFont="1" applyProtection="1">
      <protection hidden="1"/>
    </xf>
    <xf numFmtId="0" fontId="0" fillId="5" borderId="2" xfId="0" applyFill="1" applyBorder="1" applyAlignment="1">
      <alignment horizontal="center"/>
    </xf>
    <xf numFmtId="0" fontId="5" fillId="5" borderId="1" xfId="0" applyFont="1" applyFill="1" applyBorder="1" applyAlignment="1">
      <alignment horizontal="center"/>
    </xf>
    <xf numFmtId="0" fontId="5" fillId="5" borderId="9" xfId="0" applyFont="1" applyFill="1" applyBorder="1" applyAlignment="1">
      <alignment horizontal="center"/>
    </xf>
    <xf numFmtId="0" fontId="17" fillId="0" borderId="0" xfId="0" applyFont="1"/>
    <xf numFmtId="49" fontId="17" fillId="0" borderId="0" xfId="0" applyNumberFormat="1" applyFont="1" applyAlignment="1">
      <alignment horizontal="left"/>
    </xf>
    <xf numFmtId="164" fontId="0" fillId="0" borderId="0" xfId="0" applyNumberFormat="1" applyAlignment="1">
      <alignment horizontal="left"/>
    </xf>
    <xf numFmtId="0" fontId="5" fillId="4" borderId="10" xfId="0" applyFont="1" applyFill="1" applyBorder="1" applyAlignment="1">
      <alignment horizontal="center"/>
    </xf>
    <xf numFmtId="0" fontId="17" fillId="0" borderId="0" xfId="0" applyFont="1" applyAlignment="1">
      <alignment horizontal="center"/>
    </xf>
    <xf numFmtId="1" fontId="17" fillId="0" borderId="0" xfId="0" applyNumberFormat="1" applyFont="1" applyAlignment="1">
      <alignment horizontal="center"/>
    </xf>
    <xf numFmtId="0" fontId="11" fillId="0" borderId="0" xfId="0" applyFont="1" applyAlignment="1">
      <alignment horizontal="left"/>
    </xf>
    <xf numFmtId="0" fontId="11" fillId="0" borderId="0" xfId="0" applyFont="1" applyAlignment="1">
      <alignment horizontal="center"/>
    </xf>
    <xf numFmtId="0" fontId="0" fillId="0" borderId="0" xfId="0" applyAlignment="1">
      <alignment horizontal="center"/>
    </xf>
    <xf numFmtId="49" fontId="20" fillId="0" borderId="0" xfId="0" applyNumberFormat="1" applyFont="1" applyAlignment="1">
      <alignment horizontal="left"/>
    </xf>
    <xf numFmtId="0" fontId="9" fillId="0" borderId="0" xfId="0" applyFont="1" applyAlignment="1">
      <alignment horizontal="center" wrapText="1"/>
    </xf>
    <xf numFmtId="0" fontId="0" fillId="0" borderId="0" xfId="0" applyAlignment="1">
      <alignment horizontal="left" vertical="center" wrapText="1"/>
    </xf>
    <xf numFmtId="0" fontId="5" fillId="5" borderId="10" xfId="0" applyFont="1" applyFill="1" applyBorder="1" applyAlignment="1">
      <alignment horizontal="center"/>
    </xf>
    <xf numFmtId="0" fontId="0" fillId="0" borderId="0" xfId="0" applyAlignment="1">
      <alignment vertical="top" wrapText="1"/>
    </xf>
    <xf numFmtId="49" fontId="0" fillId="4" borderId="0" xfId="0" applyNumberFormat="1" applyFill="1" applyAlignment="1">
      <alignment horizontal="center"/>
    </xf>
    <xf numFmtId="0" fontId="5" fillId="9" borderId="10" xfId="0" applyFont="1" applyFill="1" applyBorder="1" applyAlignment="1">
      <alignment horizontal="center"/>
    </xf>
    <xf numFmtId="0" fontId="5" fillId="9" borderId="9" xfId="0" applyFont="1" applyFill="1" applyBorder="1" applyAlignment="1">
      <alignment horizontal="center"/>
    </xf>
    <xf numFmtId="49" fontId="6" fillId="5" borderId="5" xfId="0" applyNumberFormat="1" applyFont="1" applyFill="1" applyBorder="1" applyAlignment="1">
      <alignment horizontal="center"/>
    </xf>
    <xf numFmtId="49" fontId="22" fillId="0" borderId="0" xfId="0" applyNumberFormat="1" applyFont="1"/>
    <xf numFmtId="49" fontId="6" fillId="4" borderId="0" xfId="0" applyNumberFormat="1" applyFont="1" applyFill="1" applyAlignment="1">
      <alignment horizontal="center"/>
    </xf>
    <xf numFmtId="49" fontId="6" fillId="5" borderId="0" xfId="0" applyNumberFormat="1" applyFont="1" applyFill="1" applyAlignment="1">
      <alignment horizontal="center"/>
    </xf>
    <xf numFmtId="0" fontId="26" fillId="0" borderId="0" xfId="0" applyFont="1"/>
    <xf numFmtId="49" fontId="23" fillId="0" borderId="0" xfId="0" applyNumberFormat="1" applyFont="1" applyAlignment="1">
      <alignment horizontal="left"/>
    </xf>
    <xf numFmtId="0" fontId="23" fillId="0" borderId="0" xfId="0" applyFont="1" applyAlignment="1">
      <alignment horizontal="left"/>
    </xf>
    <xf numFmtId="49" fontId="27" fillId="0" borderId="0" xfId="0" applyNumberFormat="1" applyFont="1" applyAlignment="1">
      <alignment horizontal="center"/>
    </xf>
    <xf numFmtId="0" fontId="27" fillId="0" borderId="0" xfId="0" applyFont="1"/>
    <xf numFmtId="0" fontId="24" fillId="0" borderId="0" xfId="0" applyFont="1"/>
    <xf numFmtId="49" fontId="0" fillId="4" borderId="5" xfId="0" applyNumberFormat="1" applyFill="1" applyBorder="1" applyAlignment="1">
      <alignment horizontal="center"/>
    </xf>
    <xf numFmtId="49" fontId="0" fillId="9" borderId="5" xfId="0" applyNumberFormat="1" applyFill="1" applyBorder="1" applyAlignment="1">
      <alignment horizontal="center"/>
    </xf>
    <xf numFmtId="1" fontId="0" fillId="0" borderId="0" xfId="0" applyNumberFormat="1"/>
    <xf numFmtId="1" fontId="27" fillId="0" borderId="0" xfId="0" applyNumberFormat="1" applyFont="1"/>
    <xf numFmtId="0" fontId="28" fillId="0" borderId="0" xfId="0" applyFont="1" applyAlignment="1">
      <alignment horizontal="center" vertical="center" readingOrder="1"/>
    </xf>
    <xf numFmtId="0" fontId="6" fillId="0" borderId="0" xfId="0" applyFont="1"/>
    <xf numFmtId="0" fontId="27" fillId="0" borderId="0" xfId="0" applyFont="1" applyAlignment="1">
      <alignment horizontal="center"/>
    </xf>
    <xf numFmtId="0" fontId="6" fillId="11" borderId="0" xfId="0" applyFont="1" applyFill="1"/>
    <xf numFmtId="0" fontId="27" fillId="0" borderId="0" xfId="0" applyFont="1" applyAlignment="1" applyProtection="1">
      <alignment horizontal="center"/>
      <protection locked="0"/>
    </xf>
    <xf numFmtId="0" fontId="13" fillId="0" borderId="0" xfId="0" applyFont="1"/>
    <xf numFmtId="0" fontId="7" fillId="0" borderId="0" xfId="0" applyFont="1" applyAlignment="1">
      <alignment horizontal="left"/>
    </xf>
    <xf numFmtId="0" fontId="8" fillId="0" borderId="0" xfId="0" applyFont="1" applyAlignment="1">
      <alignment horizontal="center" vertical="top" wrapText="1"/>
    </xf>
    <xf numFmtId="0" fontId="9" fillId="0" borderId="0" xfId="0" applyFont="1" applyAlignment="1">
      <alignment horizontal="right"/>
    </xf>
    <xf numFmtId="0" fontId="27" fillId="0" borderId="0" xfId="0" applyFont="1" applyAlignment="1">
      <alignment horizontal="left"/>
    </xf>
    <xf numFmtId="1" fontId="27" fillId="0" borderId="0" xfId="0" applyNumberFormat="1" applyFont="1" applyAlignment="1">
      <alignment horizontal="left"/>
    </xf>
    <xf numFmtId="0" fontId="6" fillId="7" borderId="11" xfId="0" applyFont="1" applyFill="1" applyBorder="1"/>
    <xf numFmtId="0" fontId="0" fillId="0" borderId="0" xfId="0" applyAlignment="1">
      <alignment horizontal="right"/>
    </xf>
    <xf numFmtId="0" fontId="0" fillId="2" borderId="10" xfId="0" applyFill="1" applyBorder="1" applyAlignment="1">
      <alignment horizontal="center"/>
    </xf>
    <xf numFmtId="0" fontId="0" fillId="2" borderId="1" xfId="0" applyFill="1" applyBorder="1" applyAlignment="1">
      <alignment horizontal="center"/>
    </xf>
    <xf numFmtId="49" fontId="0" fillId="2" borderId="1" xfId="0" applyNumberFormat="1" applyFill="1" applyBorder="1" applyAlignment="1">
      <alignment horizontal="center"/>
    </xf>
    <xf numFmtId="49" fontId="0" fillId="2" borderId="9" xfId="0" applyNumberFormat="1" applyFill="1" applyBorder="1" applyAlignment="1">
      <alignment horizontal="center"/>
    </xf>
    <xf numFmtId="0" fontId="5" fillId="3" borderId="3" xfId="0" applyFont="1" applyFill="1" applyBorder="1" applyAlignment="1">
      <alignment horizontal="center"/>
    </xf>
    <xf numFmtId="49" fontId="5" fillId="3" borderId="3" xfId="0" applyNumberFormat="1" applyFont="1" applyFill="1" applyBorder="1" applyAlignment="1">
      <alignment horizontal="center"/>
    </xf>
    <xf numFmtId="0" fontId="0" fillId="2" borderId="7" xfId="0" applyFill="1" applyBorder="1" applyAlignment="1">
      <alignment horizontal="center"/>
    </xf>
    <xf numFmtId="0" fontId="0" fillId="2" borderId="2" xfId="0" applyFill="1" applyBorder="1" applyAlignment="1">
      <alignment horizontal="center"/>
    </xf>
    <xf numFmtId="1" fontId="0" fillId="7" borderId="2" xfId="0" applyNumberFormat="1" applyFill="1" applyBorder="1" applyAlignment="1">
      <alignment horizontal="center"/>
    </xf>
    <xf numFmtId="0" fontId="6" fillId="2" borderId="8" xfId="0" applyFont="1" applyFill="1" applyBorder="1" applyAlignment="1">
      <alignment horizontal="center"/>
    </xf>
    <xf numFmtId="1" fontId="5" fillId="3" borderId="4" xfId="0" applyNumberFormat="1" applyFont="1" applyFill="1" applyBorder="1" applyAlignment="1">
      <alignment horizontal="center"/>
    </xf>
    <xf numFmtId="0" fontId="11" fillId="0" borderId="0" xfId="0" applyFont="1" applyAlignment="1">
      <alignment horizontal="right"/>
    </xf>
    <xf numFmtId="1" fontId="11" fillId="0" borderId="0" xfId="0" applyNumberFormat="1" applyFont="1" applyAlignment="1">
      <alignment horizontal="left"/>
    </xf>
    <xf numFmtId="1" fontId="11" fillId="0" borderId="0" xfId="0" applyNumberFormat="1" applyFont="1" applyAlignment="1">
      <alignment horizontal="center"/>
    </xf>
    <xf numFmtId="0" fontId="30" fillId="0" borderId="0" xfId="0" applyFont="1"/>
    <xf numFmtId="0" fontId="31" fillId="0" borderId="0" xfId="0" applyFont="1"/>
    <xf numFmtId="0" fontId="31" fillId="0" borderId="0" xfId="0" applyFont="1" applyAlignment="1">
      <alignment horizontal="right"/>
    </xf>
    <xf numFmtId="0" fontId="31" fillId="0" borderId="0" xfId="0" applyFont="1" applyAlignment="1">
      <alignment horizontal="left"/>
    </xf>
    <xf numFmtId="1" fontId="31" fillId="0" borderId="0" xfId="0" applyNumberFormat="1" applyFont="1" applyAlignment="1">
      <alignment horizontal="left"/>
    </xf>
    <xf numFmtId="1" fontId="31" fillId="0" borderId="0" xfId="0" applyNumberFormat="1" applyFont="1" applyAlignment="1">
      <alignment horizontal="center"/>
    </xf>
    <xf numFmtId="0" fontId="33" fillId="0" borderId="0" xfId="0" applyFont="1"/>
    <xf numFmtId="0" fontId="27" fillId="12" borderId="0" xfId="0" applyFont="1" applyFill="1" applyAlignment="1">
      <alignment horizontal="center"/>
    </xf>
    <xf numFmtId="0" fontId="27" fillId="12" borderId="0" xfId="0" applyFont="1" applyFill="1" applyAlignment="1" applyProtection="1">
      <alignment horizontal="center"/>
      <protection locked="0"/>
    </xf>
    <xf numFmtId="0" fontId="35" fillId="0" borderId="0" xfId="0" applyFont="1" applyAlignment="1">
      <alignment horizontal="left"/>
    </xf>
    <xf numFmtId="0" fontId="0" fillId="13" borderId="13" xfId="0" applyFill="1" applyBorder="1"/>
    <xf numFmtId="0" fontId="0" fillId="13" borderId="12" xfId="0" applyFill="1" applyBorder="1"/>
    <xf numFmtId="0" fontId="2" fillId="13" borderId="12" xfId="0" applyFont="1" applyFill="1" applyBorder="1"/>
    <xf numFmtId="0" fontId="29" fillId="13" borderId="12" xfId="0" applyFont="1" applyFill="1" applyBorder="1"/>
    <xf numFmtId="0" fontId="31" fillId="13" borderId="11" xfId="0" applyFont="1" applyFill="1" applyBorder="1" applyAlignment="1">
      <alignment horizontal="center" vertical="center"/>
    </xf>
    <xf numFmtId="0" fontId="6" fillId="14" borderId="20" xfId="0" applyFont="1" applyFill="1" applyBorder="1"/>
    <xf numFmtId="0" fontId="0" fillId="14" borderId="20" xfId="0" applyFill="1" applyBorder="1"/>
    <xf numFmtId="0" fontId="7" fillId="14" borderId="20" xfId="0" applyFont="1" applyFill="1" applyBorder="1" applyAlignment="1">
      <alignment horizontal="left"/>
    </xf>
    <xf numFmtId="0" fontId="37" fillId="14" borderId="18" xfId="0" applyFont="1" applyFill="1" applyBorder="1" applyAlignment="1">
      <alignment horizontal="center"/>
    </xf>
    <xf numFmtId="0" fontId="37" fillId="14" borderId="26" xfId="0" applyFont="1" applyFill="1" applyBorder="1" applyAlignment="1">
      <alignment horizontal="center"/>
    </xf>
    <xf numFmtId="49" fontId="37" fillId="14" borderId="26" xfId="0" applyNumberFormat="1" applyFont="1" applyFill="1" applyBorder="1" applyAlignment="1">
      <alignment horizontal="center"/>
    </xf>
    <xf numFmtId="0" fontId="37" fillId="14" borderId="22" xfId="0" applyFont="1" applyFill="1" applyBorder="1" applyAlignment="1">
      <alignment horizontal="center"/>
    </xf>
    <xf numFmtId="0" fontId="37" fillId="14" borderId="27" xfId="0" applyFont="1" applyFill="1" applyBorder="1" applyAlignment="1">
      <alignment horizontal="center"/>
    </xf>
    <xf numFmtId="1" fontId="37" fillId="14" borderId="27" xfId="0" applyNumberFormat="1" applyFont="1" applyFill="1" applyBorder="1" applyAlignment="1">
      <alignment horizontal="center"/>
    </xf>
    <xf numFmtId="0" fontId="37" fillId="14" borderId="27" xfId="0" applyFont="1" applyFill="1" applyBorder="1" applyAlignment="1">
      <alignment horizontal="right"/>
    </xf>
    <xf numFmtId="0" fontId="37" fillId="14" borderId="27" xfId="0" applyFont="1" applyFill="1" applyBorder="1" applyAlignment="1">
      <alignment horizontal="left"/>
    </xf>
    <xf numFmtId="1" fontId="37" fillId="14" borderId="23" xfId="0" applyNumberFormat="1" applyFont="1" applyFill="1" applyBorder="1" applyAlignment="1">
      <alignment horizontal="left"/>
    </xf>
    <xf numFmtId="0" fontId="0" fillId="13" borderId="2" xfId="0" applyFill="1" applyBorder="1"/>
    <xf numFmtId="0" fontId="0" fillId="13" borderId="11" xfId="0" applyFill="1" applyBorder="1"/>
    <xf numFmtId="0" fontId="0" fillId="10" borderId="26" xfId="0" applyFill="1" applyBorder="1"/>
    <xf numFmtId="0" fontId="0" fillId="10" borderId="26" xfId="0" applyFill="1" applyBorder="1" applyAlignment="1">
      <alignment horizontal="right"/>
    </xf>
    <xf numFmtId="164" fontId="1" fillId="14" borderId="0" xfId="0" applyNumberFormat="1" applyFont="1" applyFill="1" applyProtection="1">
      <protection hidden="1"/>
    </xf>
    <xf numFmtId="49" fontId="1" fillId="14" borderId="0" xfId="0" applyNumberFormat="1" applyFont="1" applyFill="1" applyProtection="1">
      <protection hidden="1"/>
    </xf>
    <xf numFmtId="0" fontId="27" fillId="14" borderId="26" xfId="0" applyFont="1" applyFill="1" applyBorder="1"/>
    <xf numFmtId="0" fontId="27" fillId="14" borderId="19" xfId="0" applyFont="1" applyFill="1" applyBorder="1"/>
    <xf numFmtId="164" fontId="1" fillId="14" borderId="21" xfId="0" applyNumberFormat="1" applyFont="1" applyFill="1" applyBorder="1" applyProtection="1">
      <protection hidden="1"/>
    </xf>
    <xf numFmtId="0" fontId="27" fillId="0" borderId="5" xfId="0" applyFont="1" applyBorder="1" applyAlignment="1">
      <alignment horizontal="center"/>
    </xf>
    <xf numFmtId="0" fontId="6" fillId="0" borderId="0" xfId="0" applyFont="1" applyAlignment="1">
      <alignment horizontal="left"/>
    </xf>
    <xf numFmtId="0" fontId="39" fillId="14" borderId="26" xfId="0" applyFont="1" applyFill="1" applyBorder="1"/>
    <xf numFmtId="49" fontId="40" fillId="5" borderId="5" xfId="0" applyNumberFormat="1" applyFont="1" applyFill="1" applyBorder="1" applyAlignment="1">
      <alignment horizontal="center"/>
    </xf>
    <xf numFmtId="0" fontId="40" fillId="5" borderId="0" xfId="0" applyFont="1" applyFill="1" applyAlignment="1">
      <alignment horizontal="center"/>
    </xf>
    <xf numFmtId="0" fontId="41" fillId="5" borderId="10" xfId="0" applyFont="1" applyFill="1" applyBorder="1" applyAlignment="1">
      <alignment horizontal="center"/>
    </xf>
    <xf numFmtId="0" fontId="40" fillId="5" borderId="5" xfId="0" applyFont="1" applyFill="1" applyBorder="1" applyAlignment="1">
      <alignment horizontal="center"/>
    </xf>
    <xf numFmtId="0" fontId="40" fillId="5" borderId="7" xfId="0" applyFont="1" applyFill="1" applyBorder="1" applyAlignment="1">
      <alignment horizontal="center"/>
    </xf>
    <xf numFmtId="49" fontId="40" fillId="9" borderId="5" xfId="0" applyNumberFormat="1" applyFont="1" applyFill="1" applyBorder="1" applyAlignment="1">
      <alignment horizontal="center"/>
    </xf>
    <xf numFmtId="0" fontId="40" fillId="9" borderId="6" xfId="0" applyFont="1" applyFill="1" applyBorder="1" applyAlignment="1">
      <alignment horizontal="center"/>
    </xf>
    <xf numFmtId="0" fontId="40" fillId="9" borderId="8" xfId="0" applyFont="1" applyFill="1" applyBorder="1" applyAlignment="1">
      <alignment horizontal="center"/>
    </xf>
    <xf numFmtId="0" fontId="42" fillId="8" borderId="0" xfId="0" applyFont="1" applyFill="1" applyAlignment="1">
      <alignment horizontal="center"/>
    </xf>
    <xf numFmtId="0" fontId="42" fillId="4" borderId="0" xfId="0" applyFont="1" applyFill="1" applyAlignment="1">
      <alignment horizontal="center"/>
    </xf>
    <xf numFmtId="49" fontId="42" fillId="4" borderId="5" xfId="0" applyNumberFormat="1" applyFont="1" applyFill="1" applyBorder="1" applyAlignment="1">
      <alignment horizontal="center"/>
    </xf>
    <xf numFmtId="0" fontId="42" fillId="4" borderId="6" xfId="0" applyFont="1" applyFill="1" applyBorder="1" applyAlignment="1">
      <alignment horizontal="center"/>
    </xf>
    <xf numFmtId="0" fontId="42" fillId="4" borderId="2" xfId="0" applyFont="1" applyFill="1" applyBorder="1" applyAlignment="1">
      <alignment horizontal="center"/>
    </xf>
    <xf numFmtId="0" fontId="42" fillId="4" borderId="8" xfId="0" applyFont="1" applyFill="1" applyBorder="1" applyAlignment="1">
      <alignment horizontal="center"/>
    </xf>
    <xf numFmtId="0" fontId="6" fillId="5" borderId="0" xfId="0" applyFont="1" applyFill="1" applyAlignment="1">
      <alignment horizontal="center"/>
    </xf>
    <xf numFmtId="0" fontId="0" fillId="13" borderId="0" xfId="0" applyFill="1"/>
    <xf numFmtId="0" fontId="43" fillId="14" borderId="20" xfId="0" applyFont="1" applyFill="1" applyBorder="1" applyAlignment="1">
      <alignment horizontal="left"/>
    </xf>
    <xf numFmtId="0" fontId="43" fillId="14" borderId="22" xfId="0" applyFont="1" applyFill="1" applyBorder="1" applyAlignment="1">
      <alignment horizontal="left"/>
    </xf>
    <xf numFmtId="0" fontId="6" fillId="14" borderId="20" xfId="0" applyFont="1" applyFill="1" applyBorder="1" applyAlignment="1">
      <alignment horizontal="center"/>
    </xf>
    <xf numFmtId="0" fontId="0" fillId="14" borderId="18" xfId="0" applyFill="1" applyBorder="1" applyAlignment="1">
      <alignment horizontal="center"/>
    </xf>
    <xf numFmtId="49" fontId="24" fillId="0" borderId="0" xfId="0" applyNumberFormat="1" applyFont="1" applyAlignment="1">
      <alignment horizontal="left"/>
    </xf>
    <xf numFmtId="0" fontId="37" fillId="14" borderId="18" xfId="0" applyFont="1" applyFill="1" applyBorder="1"/>
    <xf numFmtId="0" fontId="37" fillId="14" borderId="19" xfId="0" applyFont="1" applyFill="1" applyBorder="1"/>
    <xf numFmtId="1" fontId="5" fillId="10" borderId="7" xfId="0" applyNumberFormat="1" applyFont="1" applyFill="1" applyBorder="1" applyAlignment="1">
      <alignment horizontal="right"/>
    </xf>
    <xf numFmtId="0" fontId="5" fillId="10" borderId="8" xfId="0" applyFont="1" applyFill="1" applyBorder="1" applyAlignment="1" applyProtection="1">
      <alignment horizontal="left"/>
      <protection hidden="1"/>
    </xf>
    <xf numFmtId="0" fontId="1" fillId="0" borderId="0" xfId="0" applyFont="1"/>
    <xf numFmtId="0" fontId="0" fillId="8" borderId="0" xfId="0" applyFill="1" applyAlignment="1">
      <alignment horizontal="center"/>
    </xf>
    <xf numFmtId="0" fontId="0" fillId="8" borderId="0" xfId="0" applyFill="1"/>
    <xf numFmtId="0" fontId="1" fillId="0" borderId="0" xfId="0" applyFont="1" applyAlignment="1">
      <alignment horizontal="left"/>
    </xf>
    <xf numFmtId="49" fontId="40" fillId="5" borderId="0" xfId="0" applyNumberFormat="1" applyFont="1" applyFill="1" applyAlignment="1">
      <alignment horizontal="center"/>
    </xf>
    <xf numFmtId="0" fontId="1" fillId="0" borderId="0" xfId="0" applyFont="1" applyAlignment="1">
      <alignment horizontal="left" vertical="center" wrapText="1"/>
    </xf>
    <xf numFmtId="0" fontId="0" fillId="0" borderId="29" xfId="0" applyBorder="1" applyAlignment="1" applyProtection="1">
      <alignment horizontal="center"/>
      <protection locked="0"/>
    </xf>
    <xf numFmtId="0" fontId="13" fillId="0" borderId="0" xfId="0" applyFont="1" applyAlignment="1">
      <alignment vertical="top"/>
    </xf>
    <xf numFmtId="0" fontId="0" fillId="0" borderId="0" xfId="0" applyAlignment="1">
      <alignment vertical="top"/>
    </xf>
    <xf numFmtId="49" fontId="27" fillId="0" borderId="0" xfId="0" applyNumberFormat="1" applyFont="1" applyAlignment="1">
      <alignment horizontal="center" vertical="top"/>
    </xf>
    <xf numFmtId="0" fontId="27" fillId="0" borderId="0" xfId="0" applyFont="1" applyAlignment="1">
      <alignment vertical="top"/>
    </xf>
    <xf numFmtId="49" fontId="9" fillId="0" borderId="0" xfId="0" applyNumberFormat="1" applyFont="1" applyAlignment="1">
      <alignment vertical="top"/>
    </xf>
    <xf numFmtId="0" fontId="3" fillId="0" borderId="0" xfId="0" applyFont="1"/>
    <xf numFmtId="0" fontId="44" fillId="0" borderId="0" xfId="1" applyFont="1"/>
    <xf numFmtId="0" fontId="31" fillId="13" borderId="12" xfId="0" applyFont="1" applyFill="1" applyBorder="1" applyAlignment="1">
      <alignment horizontal="center" vertical="center" wrapText="1"/>
    </xf>
    <xf numFmtId="0" fontId="5" fillId="10" borderId="10" xfId="0" applyFont="1" applyFill="1" applyBorder="1" applyAlignment="1">
      <alignment horizontal="center"/>
    </xf>
    <xf numFmtId="0" fontId="5" fillId="10" borderId="9" xfId="0" applyFont="1" applyFill="1" applyBorder="1" applyAlignment="1">
      <alignment horizontal="center"/>
    </xf>
    <xf numFmtId="0" fontId="0" fillId="10" borderId="20" xfId="0" applyFill="1" applyBorder="1" applyAlignment="1">
      <alignment horizontal="right" vertical="center"/>
    </xf>
    <xf numFmtId="0" fontId="0" fillId="10" borderId="21" xfId="0" applyFill="1" applyBorder="1" applyAlignment="1">
      <alignment horizontal="right" vertical="center"/>
    </xf>
    <xf numFmtId="0" fontId="27" fillId="0" borderId="28" xfId="0" applyFont="1" applyBorder="1" applyAlignment="1">
      <alignment horizontal="right"/>
    </xf>
    <xf numFmtId="0" fontId="0" fillId="0" borderId="28" xfId="0" applyBorder="1" applyAlignment="1">
      <alignment horizontal="right"/>
    </xf>
    <xf numFmtId="0" fontId="0" fillId="6" borderId="24" xfId="0" applyFill="1" applyBorder="1" applyAlignment="1" applyProtection="1">
      <alignment horizontal="center" vertical="center"/>
      <protection locked="0"/>
    </xf>
    <xf numFmtId="0" fontId="0" fillId="6" borderId="25" xfId="0" applyFill="1" applyBorder="1" applyAlignment="1" applyProtection="1">
      <alignment horizontal="center" vertical="center"/>
      <protection locked="0"/>
    </xf>
    <xf numFmtId="0" fontId="0" fillId="6" borderId="24" xfId="0" applyFill="1" applyBorder="1" applyAlignment="1" applyProtection="1">
      <alignment horizontal="center"/>
      <protection locked="0"/>
    </xf>
    <xf numFmtId="0" fontId="0" fillId="6" borderId="25" xfId="0" applyFill="1" applyBorder="1" applyAlignment="1" applyProtection="1">
      <alignment horizontal="center"/>
      <protection locked="0"/>
    </xf>
    <xf numFmtId="0" fontId="6" fillId="10" borderId="22" xfId="0" applyFont="1" applyFill="1" applyBorder="1" applyAlignment="1">
      <alignment horizontal="right"/>
    </xf>
    <xf numFmtId="0" fontId="0" fillId="10" borderId="23" xfId="0" applyFill="1" applyBorder="1" applyAlignment="1">
      <alignment horizontal="right"/>
    </xf>
    <xf numFmtId="0" fontId="0" fillId="10" borderId="20" xfId="0" applyFill="1" applyBorder="1" applyAlignment="1">
      <alignment horizontal="right"/>
    </xf>
    <xf numFmtId="0" fontId="0" fillId="10" borderId="21" xfId="0" applyFill="1" applyBorder="1" applyAlignment="1">
      <alignment horizontal="right"/>
    </xf>
    <xf numFmtId="0" fontId="5" fillId="0" borderId="24" xfId="0" applyFont="1" applyBorder="1" applyAlignment="1">
      <alignment horizontal="center"/>
    </xf>
    <xf numFmtId="0" fontId="5" fillId="0" borderId="25" xfId="0" applyFont="1" applyBorder="1" applyAlignment="1">
      <alignment horizontal="center"/>
    </xf>
    <xf numFmtId="0" fontId="0" fillId="11" borderId="24" xfId="0" applyFill="1" applyBorder="1" applyAlignment="1" applyProtection="1">
      <alignment horizontal="center"/>
      <protection locked="0"/>
    </xf>
    <xf numFmtId="0" fontId="0" fillId="11" borderId="25" xfId="0" applyFill="1" applyBorder="1" applyAlignment="1" applyProtection="1">
      <alignment horizontal="center"/>
      <protection locked="0"/>
    </xf>
    <xf numFmtId="0" fontId="37" fillId="14" borderId="0" xfId="0" applyFont="1" applyFill="1" applyAlignment="1" applyProtection="1">
      <alignment horizontal="center" wrapText="1"/>
      <protection hidden="1"/>
    </xf>
    <xf numFmtId="0" fontId="37" fillId="14" borderId="21" xfId="0" applyFont="1" applyFill="1" applyBorder="1" applyAlignment="1" applyProtection="1">
      <alignment horizontal="center" wrapText="1"/>
      <protection hidden="1"/>
    </xf>
    <xf numFmtId="0" fontId="6" fillId="10" borderId="20" xfId="0" applyFont="1" applyFill="1" applyBorder="1" applyAlignment="1">
      <alignment horizontal="right"/>
    </xf>
    <xf numFmtId="0" fontId="6" fillId="10" borderId="21" xfId="0" applyFont="1" applyFill="1" applyBorder="1" applyAlignment="1">
      <alignment horizontal="right"/>
    </xf>
    <xf numFmtId="0" fontId="39" fillId="14" borderId="0" xfId="0" applyFont="1" applyFill="1" applyAlignment="1">
      <alignment horizontal="center" vertical="top" wrapText="1"/>
    </xf>
    <xf numFmtId="0" fontId="39" fillId="14" borderId="21" xfId="0" applyFont="1" applyFill="1" applyBorder="1" applyAlignment="1">
      <alignment horizontal="center" vertical="top" wrapText="1"/>
    </xf>
    <xf numFmtId="0" fontId="37" fillId="14" borderId="0" xfId="0" applyFont="1" applyFill="1" applyAlignment="1">
      <alignment horizontal="right"/>
    </xf>
    <xf numFmtId="0" fontId="37" fillId="14" borderId="0" xfId="0" applyFont="1" applyFill="1" applyAlignment="1">
      <alignment horizontal="left"/>
    </xf>
    <xf numFmtId="0" fontId="37" fillId="14" borderId="21" xfId="0" applyFont="1" applyFill="1" applyBorder="1" applyAlignment="1">
      <alignment horizontal="left"/>
    </xf>
    <xf numFmtId="0" fontId="6" fillId="11" borderId="24" xfId="0" applyFont="1" applyFill="1" applyBorder="1" applyAlignment="1" applyProtection="1">
      <alignment horizontal="center"/>
      <protection locked="0"/>
    </xf>
    <xf numFmtId="0" fontId="6" fillId="11" borderId="25" xfId="0" applyFont="1" applyFill="1" applyBorder="1" applyAlignment="1" applyProtection="1">
      <alignment horizontal="center"/>
      <protection locked="0"/>
    </xf>
    <xf numFmtId="0" fontId="0" fillId="2" borderId="5" xfId="0" applyFill="1" applyBorder="1" applyAlignment="1">
      <alignment horizontal="right" vertical="center"/>
    </xf>
    <xf numFmtId="0" fontId="0" fillId="2" borderId="6" xfId="0" applyFill="1" applyBorder="1" applyAlignment="1">
      <alignment horizontal="right" vertical="center"/>
    </xf>
    <xf numFmtId="0" fontId="0" fillId="6" borderId="14" xfId="0" applyFill="1" applyBorder="1" applyAlignment="1">
      <alignment horizontal="center" vertical="center"/>
    </xf>
    <xf numFmtId="0" fontId="0" fillId="6" borderId="15" xfId="0" applyFill="1" applyBorder="1" applyAlignment="1">
      <alignment horizontal="center" vertical="center"/>
    </xf>
    <xf numFmtId="0" fontId="27" fillId="0" borderId="0" xfId="0" applyFont="1" applyAlignment="1">
      <alignment horizontal="center"/>
    </xf>
    <xf numFmtId="0" fontId="0" fillId="2" borderId="10" xfId="0" applyFill="1" applyBorder="1" applyAlignment="1">
      <alignment horizontal="right"/>
    </xf>
    <xf numFmtId="0" fontId="0" fillId="2" borderId="9" xfId="0" applyFill="1" applyBorder="1" applyAlignment="1">
      <alignment horizontal="right"/>
    </xf>
    <xf numFmtId="0" fontId="0" fillId="11" borderId="24" xfId="0" applyFill="1" applyBorder="1" applyAlignment="1">
      <alignment horizontal="center"/>
    </xf>
    <xf numFmtId="0" fontId="0" fillId="11" borderId="25" xfId="0" applyFill="1" applyBorder="1" applyAlignment="1">
      <alignment horizontal="center"/>
    </xf>
    <xf numFmtId="0" fontId="0" fillId="2" borderId="5" xfId="0" applyFill="1" applyBorder="1" applyAlignment="1">
      <alignment horizontal="right"/>
    </xf>
    <xf numFmtId="0" fontId="0" fillId="2" borderId="6" xfId="0" applyFill="1" applyBorder="1" applyAlignment="1">
      <alignment horizontal="right"/>
    </xf>
    <xf numFmtId="0" fontId="0" fillId="6" borderId="14" xfId="0" applyFill="1" applyBorder="1" applyAlignment="1">
      <alignment horizontal="center"/>
    </xf>
    <xf numFmtId="0" fontId="0" fillId="6" borderId="15" xfId="0" applyFill="1" applyBorder="1" applyAlignment="1">
      <alignment horizontal="center"/>
    </xf>
    <xf numFmtId="0" fontId="9" fillId="0" borderId="0" xfId="0" applyFont="1" applyAlignment="1" applyProtection="1">
      <alignment horizontal="center" wrapText="1"/>
      <protection hidden="1"/>
    </xf>
    <xf numFmtId="0" fontId="8" fillId="0" borderId="0" xfId="0" applyFont="1" applyAlignment="1">
      <alignment horizontal="center" vertical="top" wrapText="1"/>
    </xf>
    <xf numFmtId="0" fontId="0" fillId="2" borderId="7" xfId="0" applyFill="1" applyBorder="1" applyAlignment="1">
      <alignment horizontal="right"/>
    </xf>
    <xf numFmtId="0" fontId="0" fillId="2" borderId="8" xfId="0" applyFill="1" applyBorder="1" applyAlignment="1">
      <alignment horizontal="right"/>
    </xf>
    <xf numFmtId="0" fontId="0" fillId="6" borderId="16" xfId="0" applyFill="1" applyBorder="1" applyAlignment="1">
      <alignment horizontal="center"/>
    </xf>
    <xf numFmtId="0" fontId="0" fillId="6" borderId="17" xfId="0" applyFill="1" applyBorder="1" applyAlignment="1">
      <alignment horizontal="center"/>
    </xf>
    <xf numFmtId="0" fontId="6" fillId="7" borderId="13" xfId="0" applyFont="1" applyFill="1" applyBorder="1" applyAlignment="1">
      <alignment horizontal="right"/>
    </xf>
    <xf numFmtId="0" fontId="6" fillId="7" borderId="12" xfId="0" applyFont="1" applyFill="1" applyBorder="1" applyAlignment="1">
      <alignment horizontal="right"/>
    </xf>
    <xf numFmtId="0" fontId="5" fillId="0" borderId="13" xfId="0" applyFont="1" applyBorder="1" applyAlignment="1">
      <alignment horizontal="center"/>
    </xf>
    <xf numFmtId="0" fontId="5" fillId="0" borderId="11" xfId="0" applyFont="1" applyBorder="1" applyAlignment="1">
      <alignment horizontal="center"/>
    </xf>
    <xf numFmtId="0" fontId="9" fillId="0" borderId="0" xfId="0" applyFont="1" applyAlignment="1">
      <alignment horizontal="right"/>
    </xf>
    <xf numFmtId="0" fontId="9" fillId="0" borderId="0" xfId="0" applyFont="1" applyAlignment="1">
      <alignment horizontal="left"/>
    </xf>
    <xf numFmtId="0" fontId="25" fillId="0" borderId="0" xfId="1" applyAlignment="1" applyProtection="1">
      <alignment horizontal="center"/>
      <protection locked="0"/>
    </xf>
    <xf numFmtId="0" fontId="5" fillId="2" borderId="13" xfId="0" applyFont="1" applyFill="1" applyBorder="1" applyAlignment="1">
      <alignment horizontal="center" vertical="top" wrapText="1"/>
    </xf>
    <xf numFmtId="0" fontId="5" fillId="2" borderId="12" xfId="0" applyFont="1" applyFill="1" applyBorder="1" applyAlignment="1">
      <alignment horizontal="center" vertical="top" wrapText="1"/>
    </xf>
    <xf numFmtId="0" fontId="1" fillId="4" borderId="13" xfId="0" applyFont="1" applyFill="1" applyBorder="1" applyAlignment="1">
      <alignment horizontal="left" vertical="top" wrapText="1"/>
    </xf>
    <xf numFmtId="0" fontId="0" fillId="4" borderId="12" xfId="0" applyFill="1" applyBorder="1" applyAlignment="1">
      <alignment horizontal="left" vertical="top" wrapText="1"/>
    </xf>
    <xf numFmtId="0" fontId="0" fillId="4" borderId="11" xfId="0" applyFill="1" applyBorder="1" applyAlignment="1">
      <alignment horizontal="left" vertical="top" wrapText="1"/>
    </xf>
    <xf numFmtId="0" fontId="1" fillId="0" borderId="0" xfId="0" applyFont="1" applyAlignment="1">
      <alignment horizontal="left" vertical="top" wrapText="1"/>
    </xf>
    <xf numFmtId="0" fontId="0" fillId="0" borderId="0" xfId="0" applyAlignment="1">
      <alignment horizontal="left" vertical="top" wrapText="1"/>
    </xf>
    <xf numFmtId="0" fontId="5" fillId="10" borderId="13" xfId="0" applyFont="1" applyFill="1" applyBorder="1" applyAlignment="1">
      <alignment horizontal="center" wrapText="1"/>
    </xf>
    <xf numFmtId="0" fontId="5" fillId="10" borderId="11" xfId="0" applyFont="1" applyFill="1" applyBorder="1" applyAlignment="1">
      <alignment horizontal="center" wrapText="1"/>
    </xf>
    <xf numFmtId="0" fontId="1" fillId="9" borderId="13" xfId="0" applyFont="1" applyFill="1" applyBorder="1" applyAlignment="1">
      <alignment horizontal="left" vertical="top" wrapText="1"/>
    </xf>
    <xf numFmtId="0" fontId="0" fillId="9" borderId="11" xfId="0" applyFill="1" applyBorder="1" applyAlignment="1">
      <alignment horizontal="left" vertical="top" wrapText="1"/>
    </xf>
    <xf numFmtId="0" fontId="1" fillId="5" borderId="13" xfId="0" applyFont="1" applyFill="1" applyBorder="1" applyAlignment="1">
      <alignment horizontal="left" vertical="top" wrapText="1"/>
    </xf>
    <xf numFmtId="0" fontId="0" fillId="5" borderId="12" xfId="0" applyFill="1" applyBorder="1" applyAlignment="1">
      <alignment horizontal="left" vertical="top" wrapText="1"/>
    </xf>
    <xf numFmtId="0" fontId="0" fillId="5" borderId="11" xfId="0" applyFill="1" applyBorder="1" applyAlignment="1">
      <alignment horizontal="left" vertical="top" wrapText="1"/>
    </xf>
    <xf numFmtId="0" fontId="5" fillId="2" borderId="11" xfId="0" applyFont="1" applyFill="1" applyBorder="1" applyAlignment="1">
      <alignment horizontal="center" vertical="top" wrapText="1"/>
    </xf>
    <xf numFmtId="0" fontId="6" fillId="4" borderId="12" xfId="0" applyFont="1" applyFill="1" applyBorder="1" applyAlignment="1">
      <alignment horizontal="left" vertical="top" wrapText="1"/>
    </xf>
    <xf numFmtId="0" fontId="6" fillId="4" borderId="11" xfId="0" applyFont="1" applyFill="1" applyBorder="1" applyAlignment="1">
      <alignment horizontal="left" vertical="top" wrapText="1"/>
    </xf>
    <xf numFmtId="0" fontId="0" fillId="4" borderId="10" xfId="0" applyFill="1" applyBorder="1" applyAlignment="1">
      <alignment horizontal="center" vertical="top" wrapText="1"/>
    </xf>
    <xf numFmtId="0" fontId="0" fillId="4" borderId="0" xfId="0" applyFill="1" applyAlignment="1">
      <alignment horizontal="center" vertical="top" wrapText="1"/>
    </xf>
    <xf numFmtId="0" fontId="0" fillId="4" borderId="5" xfId="0" applyFill="1" applyBorder="1" applyAlignment="1">
      <alignment horizontal="center" vertical="top" wrapText="1"/>
    </xf>
    <xf numFmtId="0" fontId="0" fillId="4" borderId="7" xfId="0" applyFill="1" applyBorder="1" applyAlignment="1">
      <alignment horizontal="center" vertical="top" wrapText="1"/>
    </xf>
    <xf numFmtId="0" fontId="0" fillId="4" borderId="2" xfId="0" applyFill="1" applyBorder="1" applyAlignment="1">
      <alignment horizontal="center" vertical="top" wrapText="1"/>
    </xf>
    <xf numFmtId="0" fontId="0" fillId="4" borderId="8" xfId="0" applyFill="1" applyBorder="1" applyAlignment="1">
      <alignment horizontal="center" vertical="top" wrapText="1"/>
    </xf>
    <xf numFmtId="0" fontId="6" fillId="5" borderId="12" xfId="0" applyFont="1" applyFill="1" applyBorder="1" applyAlignment="1">
      <alignment horizontal="left" vertical="top" wrapText="1"/>
    </xf>
    <xf numFmtId="0" fontId="6" fillId="5" borderId="11" xfId="0" applyFont="1" applyFill="1" applyBorder="1" applyAlignment="1">
      <alignment horizontal="left" vertical="top" wrapText="1"/>
    </xf>
    <xf numFmtId="0" fontId="5" fillId="2" borderId="12" xfId="0" applyFont="1" applyFill="1" applyBorder="1" applyAlignment="1">
      <alignment horizontal="center" wrapText="1"/>
    </xf>
    <xf numFmtId="0" fontId="1" fillId="4" borderId="12" xfId="0" applyFont="1" applyFill="1" applyBorder="1" applyAlignment="1">
      <alignment horizontal="left" vertical="top" wrapText="1"/>
    </xf>
    <xf numFmtId="0" fontId="6" fillId="9" borderId="13" xfId="0" applyFont="1" applyFill="1" applyBorder="1" applyAlignment="1">
      <alignment horizontal="left" vertical="top" wrapText="1"/>
    </xf>
    <xf numFmtId="0" fontId="0" fillId="9" borderId="12" xfId="0" applyFill="1" applyBorder="1" applyAlignment="1">
      <alignment horizontal="left" vertical="top" wrapText="1"/>
    </xf>
    <xf numFmtId="0" fontId="45" fillId="0" borderId="0" xfId="0" applyFont="1"/>
    <xf numFmtId="0" fontId="31" fillId="0" borderId="0" xfId="0" applyFont="1" applyAlignment="1">
      <alignment horizontal="center" vertical="center" readingOrder="1"/>
    </xf>
    <xf numFmtId="49" fontId="27" fillId="0" borderId="0" xfId="0" applyNumberFormat="1" applyFont="1"/>
    <xf numFmtId="0" fontId="1" fillId="6" borderId="24" xfId="0" applyFont="1" applyFill="1" applyBorder="1" applyAlignment="1" applyProtection="1">
      <alignment horizontal="center"/>
      <protection locked="0"/>
    </xf>
  </cellXfs>
  <cellStyles count="2">
    <cellStyle name="Hyperlink" xfId="1" builtinId="8"/>
    <cellStyle name="Normal" xfId="0" builtinId="0"/>
  </cellStyles>
  <dxfs count="72">
    <dxf>
      <font>
        <b val="0"/>
        <i val="0"/>
        <condense val="0"/>
        <extend val="0"/>
        <color indexed="8"/>
      </font>
      <fill>
        <patternFill>
          <bgColor indexed="11"/>
        </patternFill>
      </fill>
    </dxf>
    <dxf>
      <font>
        <b/>
        <i val="0"/>
        <condense val="0"/>
        <extend val="0"/>
        <color indexed="10"/>
      </font>
      <fill>
        <patternFill patternType="solid">
          <bgColor indexed="13"/>
        </patternFill>
      </fill>
    </dxf>
    <dxf>
      <font>
        <b/>
        <i val="0"/>
        <condense val="0"/>
        <extend val="0"/>
        <color indexed="34"/>
      </font>
      <fill>
        <patternFill>
          <bgColor indexed="10"/>
        </patternFill>
      </fill>
      <border>
        <left/>
        <right/>
        <top/>
        <bottom/>
      </border>
    </dxf>
    <dxf>
      <font>
        <b/>
        <i val="0"/>
        <condense val="0"/>
        <extend val="0"/>
        <color indexed="34"/>
      </font>
      <fill>
        <patternFill>
          <bgColor indexed="10"/>
        </patternFill>
      </fill>
      <border>
        <left/>
        <right/>
        <top/>
        <bottom/>
      </border>
    </dxf>
    <dxf>
      <font>
        <b/>
        <i val="0"/>
        <condense val="0"/>
        <extend val="0"/>
        <color indexed="13"/>
      </font>
      <fill>
        <patternFill>
          <bgColor indexed="10"/>
        </patternFill>
      </fill>
    </dxf>
    <dxf>
      <font>
        <b/>
        <i val="0"/>
        <condense val="0"/>
        <extend val="0"/>
        <color indexed="13"/>
      </font>
      <fill>
        <patternFill>
          <bgColor indexed="52"/>
        </patternFill>
      </fill>
    </dxf>
    <dxf>
      <font>
        <b/>
        <i val="0"/>
        <condense val="0"/>
        <extend val="0"/>
        <color indexed="13"/>
      </font>
      <fill>
        <patternFill>
          <bgColor indexed="10"/>
        </patternFill>
      </fill>
    </dxf>
    <dxf>
      <font>
        <b/>
        <i val="0"/>
        <strike val="0"/>
        <color rgb="FFFFFF00"/>
      </font>
      <fill>
        <patternFill>
          <bgColor rgb="FFFF0000"/>
        </patternFill>
      </fill>
    </dxf>
    <dxf>
      <font>
        <b/>
        <i val="0"/>
        <condense val="0"/>
        <extend val="0"/>
        <color indexed="34"/>
      </font>
      <fill>
        <patternFill>
          <bgColor indexed="10"/>
        </patternFill>
      </fill>
      <border>
        <left/>
        <right/>
        <top/>
        <bottom/>
      </border>
    </dxf>
    <dxf>
      <font>
        <b/>
        <i val="0"/>
        <condense val="0"/>
        <extend val="0"/>
        <color indexed="34"/>
      </font>
      <fill>
        <patternFill>
          <bgColor indexed="10"/>
        </patternFill>
      </fill>
      <border>
        <left/>
        <right/>
        <top/>
        <bottom/>
      </border>
    </dxf>
    <dxf>
      <font>
        <b/>
        <i val="0"/>
        <condense val="0"/>
        <extend val="0"/>
        <color indexed="13"/>
      </font>
      <fill>
        <patternFill>
          <bgColor indexed="10"/>
        </patternFill>
      </fill>
    </dxf>
    <dxf>
      <font>
        <b val="0"/>
        <i val="0"/>
        <condense val="0"/>
        <extend val="0"/>
        <color indexed="8"/>
      </font>
      <fill>
        <patternFill>
          <bgColor indexed="11"/>
        </patternFill>
      </fill>
    </dxf>
    <dxf>
      <font>
        <b/>
        <i val="0"/>
        <condense val="0"/>
        <extend val="0"/>
        <color indexed="10"/>
      </font>
      <fill>
        <patternFill patternType="solid">
          <bgColor indexed="13"/>
        </patternFill>
      </fill>
    </dxf>
    <dxf>
      <font>
        <b/>
        <i val="0"/>
        <condense val="0"/>
        <extend val="0"/>
        <color indexed="34"/>
      </font>
      <fill>
        <patternFill>
          <bgColor indexed="10"/>
        </patternFill>
      </fill>
      <border>
        <left/>
        <right/>
        <top/>
        <bottom/>
      </border>
    </dxf>
    <dxf>
      <font>
        <b/>
        <i val="0"/>
        <condense val="0"/>
        <extend val="0"/>
        <color indexed="34"/>
      </font>
      <fill>
        <patternFill>
          <bgColor indexed="10"/>
        </patternFill>
      </fill>
      <border>
        <left/>
        <right/>
        <top/>
        <bottom/>
      </border>
    </dxf>
    <dxf>
      <font>
        <b/>
        <i val="0"/>
        <condense val="0"/>
        <extend val="0"/>
        <color indexed="13"/>
      </font>
      <fill>
        <patternFill>
          <bgColor indexed="10"/>
        </patternFill>
      </fill>
    </dxf>
    <dxf>
      <font>
        <b/>
        <i val="0"/>
        <condense val="0"/>
        <extend val="0"/>
        <color indexed="13"/>
      </font>
      <fill>
        <patternFill>
          <bgColor indexed="52"/>
        </patternFill>
      </fill>
    </dxf>
    <dxf>
      <font>
        <b/>
        <i val="0"/>
        <condense val="0"/>
        <extend val="0"/>
        <color indexed="13"/>
      </font>
      <fill>
        <patternFill>
          <bgColor indexed="10"/>
        </patternFill>
      </fill>
    </dxf>
    <dxf>
      <font>
        <b/>
        <i val="0"/>
        <strike val="0"/>
        <color rgb="FFFFFF00"/>
      </font>
      <fill>
        <patternFill>
          <bgColor rgb="FFFF0000"/>
        </patternFill>
      </fill>
    </dxf>
    <dxf>
      <font>
        <b/>
        <i val="0"/>
        <condense val="0"/>
        <extend val="0"/>
        <color indexed="34"/>
      </font>
      <fill>
        <patternFill>
          <bgColor indexed="10"/>
        </patternFill>
      </fill>
      <border>
        <left/>
        <right/>
        <top/>
        <bottom/>
      </border>
    </dxf>
    <dxf>
      <font>
        <b/>
        <i val="0"/>
        <condense val="0"/>
        <extend val="0"/>
        <color indexed="34"/>
      </font>
      <fill>
        <patternFill>
          <bgColor indexed="10"/>
        </patternFill>
      </fill>
      <border>
        <left/>
        <right/>
        <top/>
        <bottom/>
      </border>
    </dxf>
    <dxf>
      <font>
        <b/>
        <i val="0"/>
        <condense val="0"/>
        <extend val="0"/>
        <color indexed="13"/>
      </font>
      <fill>
        <patternFill>
          <bgColor indexed="10"/>
        </patternFill>
      </fill>
    </dxf>
    <dxf>
      <font>
        <b val="0"/>
        <i val="0"/>
        <condense val="0"/>
        <extend val="0"/>
        <color indexed="8"/>
      </font>
      <fill>
        <patternFill>
          <bgColor indexed="11"/>
        </patternFill>
      </fill>
    </dxf>
    <dxf>
      <font>
        <b/>
        <i val="0"/>
        <condense val="0"/>
        <extend val="0"/>
        <color indexed="10"/>
      </font>
      <fill>
        <patternFill patternType="solid">
          <bgColor indexed="13"/>
        </patternFill>
      </fill>
    </dxf>
    <dxf>
      <font>
        <b/>
        <i val="0"/>
        <condense val="0"/>
        <extend val="0"/>
        <color indexed="34"/>
      </font>
      <fill>
        <patternFill>
          <bgColor indexed="10"/>
        </patternFill>
      </fill>
      <border>
        <left/>
        <right/>
        <top/>
        <bottom/>
      </border>
    </dxf>
    <dxf>
      <font>
        <b/>
        <i val="0"/>
        <condense val="0"/>
        <extend val="0"/>
        <color indexed="34"/>
      </font>
      <fill>
        <patternFill>
          <bgColor indexed="10"/>
        </patternFill>
      </fill>
      <border>
        <left/>
        <right/>
        <top/>
        <bottom/>
      </border>
    </dxf>
    <dxf>
      <font>
        <b/>
        <i val="0"/>
        <condense val="0"/>
        <extend val="0"/>
        <color indexed="13"/>
      </font>
      <fill>
        <patternFill>
          <bgColor indexed="10"/>
        </patternFill>
      </fill>
    </dxf>
    <dxf>
      <font>
        <b/>
        <i val="0"/>
        <condense val="0"/>
        <extend val="0"/>
        <color indexed="13"/>
      </font>
      <fill>
        <patternFill>
          <bgColor indexed="52"/>
        </patternFill>
      </fill>
    </dxf>
    <dxf>
      <font>
        <b/>
        <i val="0"/>
        <condense val="0"/>
        <extend val="0"/>
        <color indexed="13"/>
      </font>
      <fill>
        <patternFill>
          <bgColor indexed="10"/>
        </patternFill>
      </fill>
    </dxf>
    <dxf>
      <font>
        <b/>
        <i val="0"/>
        <strike val="0"/>
        <color rgb="FFFFFF00"/>
      </font>
      <fill>
        <patternFill>
          <bgColor rgb="FFFF0000"/>
        </patternFill>
      </fill>
    </dxf>
    <dxf>
      <font>
        <b/>
        <i val="0"/>
        <condense val="0"/>
        <extend val="0"/>
        <color indexed="34"/>
      </font>
      <fill>
        <patternFill>
          <bgColor indexed="10"/>
        </patternFill>
      </fill>
      <border>
        <left/>
        <right/>
        <top/>
        <bottom/>
      </border>
    </dxf>
    <dxf>
      <font>
        <b/>
        <i val="0"/>
        <condense val="0"/>
        <extend val="0"/>
        <color indexed="34"/>
      </font>
      <fill>
        <patternFill>
          <bgColor indexed="10"/>
        </patternFill>
      </fill>
      <border>
        <left/>
        <right/>
        <top/>
        <bottom/>
      </border>
    </dxf>
    <dxf>
      <font>
        <b/>
        <i val="0"/>
        <condense val="0"/>
        <extend val="0"/>
        <color indexed="13"/>
      </font>
      <fill>
        <patternFill>
          <bgColor indexed="10"/>
        </patternFill>
      </fill>
    </dxf>
    <dxf>
      <font>
        <b val="0"/>
        <i val="0"/>
        <condense val="0"/>
        <extend val="0"/>
        <color indexed="8"/>
      </font>
      <fill>
        <patternFill>
          <bgColor indexed="11"/>
        </patternFill>
      </fill>
    </dxf>
    <dxf>
      <font>
        <b/>
        <i val="0"/>
        <condense val="0"/>
        <extend val="0"/>
        <color indexed="10"/>
      </font>
      <fill>
        <patternFill patternType="solid">
          <bgColor indexed="13"/>
        </patternFill>
      </fill>
    </dxf>
    <dxf>
      <font>
        <b/>
        <i val="0"/>
        <condense val="0"/>
        <extend val="0"/>
        <color indexed="34"/>
      </font>
      <fill>
        <patternFill>
          <bgColor indexed="10"/>
        </patternFill>
      </fill>
      <border>
        <left/>
        <right/>
        <top/>
        <bottom/>
      </border>
    </dxf>
    <dxf>
      <font>
        <b/>
        <i val="0"/>
        <condense val="0"/>
        <extend val="0"/>
        <color indexed="34"/>
      </font>
      <fill>
        <patternFill>
          <bgColor indexed="10"/>
        </patternFill>
      </fill>
      <border>
        <left/>
        <right/>
        <top/>
        <bottom/>
      </border>
    </dxf>
    <dxf>
      <font>
        <b/>
        <i val="0"/>
        <condense val="0"/>
        <extend val="0"/>
        <color indexed="13"/>
      </font>
      <fill>
        <patternFill>
          <bgColor indexed="10"/>
        </patternFill>
      </fill>
    </dxf>
    <dxf>
      <font>
        <b/>
        <i val="0"/>
        <condense val="0"/>
        <extend val="0"/>
        <color indexed="13"/>
      </font>
      <fill>
        <patternFill>
          <bgColor indexed="52"/>
        </patternFill>
      </fill>
    </dxf>
    <dxf>
      <font>
        <b/>
        <i val="0"/>
        <condense val="0"/>
        <extend val="0"/>
        <color indexed="13"/>
      </font>
      <fill>
        <patternFill>
          <bgColor indexed="10"/>
        </patternFill>
      </fill>
    </dxf>
    <dxf>
      <font>
        <b/>
        <i val="0"/>
        <strike val="0"/>
        <color rgb="FFFFFF00"/>
      </font>
      <fill>
        <patternFill>
          <bgColor rgb="FFFF0000"/>
        </patternFill>
      </fill>
    </dxf>
    <dxf>
      <font>
        <b/>
        <i val="0"/>
        <condense val="0"/>
        <extend val="0"/>
        <color indexed="34"/>
      </font>
      <fill>
        <patternFill>
          <bgColor indexed="10"/>
        </patternFill>
      </fill>
      <border>
        <left/>
        <right/>
        <top/>
        <bottom/>
      </border>
    </dxf>
    <dxf>
      <font>
        <b/>
        <i val="0"/>
        <condense val="0"/>
        <extend val="0"/>
        <color indexed="34"/>
      </font>
      <fill>
        <patternFill>
          <bgColor indexed="10"/>
        </patternFill>
      </fill>
      <border>
        <left/>
        <right/>
        <top/>
        <bottom/>
      </border>
    </dxf>
    <dxf>
      <font>
        <b/>
        <i val="0"/>
        <condense val="0"/>
        <extend val="0"/>
        <color indexed="13"/>
      </font>
      <fill>
        <patternFill>
          <bgColor indexed="10"/>
        </patternFill>
      </fill>
    </dxf>
    <dxf>
      <font>
        <strike val="0"/>
        <color rgb="FFFFC000"/>
      </font>
    </dxf>
    <dxf>
      <font>
        <strike val="0"/>
        <color rgb="FFFFC000"/>
      </font>
    </dxf>
    <dxf>
      <font>
        <b val="0"/>
        <i val="0"/>
        <condense val="0"/>
        <extend val="0"/>
        <color indexed="8"/>
      </font>
      <fill>
        <patternFill>
          <bgColor indexed="11"/>
        </patternFill>
      </fill>
    </dxf>
    <dxf>
      <font>
        <b/>
        <i val="0"/>
        <color rgb="FFFFFF00"/>
      </font>
      <fill>
        <patternFill patternType="solid">
          <bgColor rgb="FFFF0000"/>
        </patternFill>
      </fill>
    </dxf>
    <dxf>
      <font>
        <b/>
        <i val="0"/>
        <condense val="0"/>
        <extend val="0"/>
        <color indexed="34"/>
      </font>
      <fill>
        <patternFill>
          <bgColor indexed="10"/>
        </patternFill>
      </fill>
      <border>
        <left/>
        <right/>
        <top/>
        <bottom/>
      </border>
    </dxf>
    <dxf>
      <font>
        <strike val="0"/>
        <color rgb="FFFFC000"/>
      </font>
    </dxf>
    <dxf>
      <font>
        <color auto="1"/>
      </font>
      <fill>
        <patternFill>
          <bgColor rgb="FFFFFF00"/>
        </patternFill>
      </fill>
      <border>
        <left style="thin">
          <color auto="1"/>
        </left>
        <right style="thin">
          <color auto="1"/>
        </right>
        <top style="thin">
          <color auto="1"/>
        </top>
        <bottom style="thin">
          <color auto="1"/>
        </bottom>
      </border>
    </dxf>
    <dxf>
      <font>
        <color auto="1"/>
      </font>
      <fill>
        <patternFill>
          <bgColor rgb="FFFFC000"/>
        </patternFill>
      </fill>
      <border>
        <left style="thin">
          <color auto="1"/>
        </left>
        <right style="thin">
          <color auto="1"/>
        </right>
        <top style="thin">
          <color auto="1"/>
        </top>
        <bottom style="thin">
          <color auto="1"/>
        </bottom>
      </border>
    </dxf>
    <dxf>
      <font>
        <b/>
        <i val="0"/>
        <condense val="0"/>
        <extend val="0"/>
        <color indexed="13"/>
      </font>
      <fill>
        <patternFill>
          <bgColor indexed="10"/>
        </patternFill>
      </fill>
    </dxf>
    <dxf>
      <font>
        <b/>
        <i val="0"/>
        <color rgb="FFFFFF00"/>
      </font>
      <fill>
        <patternFill>
          <bgColor rgb="FFFF0000"/>
        </patternFill>
      </fill>
    </dxf>
    <dxf>
      <font>
        <b/>
        <i val="0"/>
        <condense val="0"/>
        <extend val="0"/>
        <color indexed="13"/>
      </font>
      <fill>
        <patternFill>
          <bgColor indexed="52"/>
        </patternFill>
      </fill>
    </dxf>
    <dxf>
      <font>
        <b/>
        <i val="0"/>
        <condense val="0"/>
        <extend val="0"/>
        <color indexed="13"/>
      </font>
      <fill>
        <patternFill>
          <bgColor indexed="10"/>
        </patternFill>
      </fill>
    </dxf>
    <dxf>
      <font>
        <b/>
        <i val="0"/>
        <condense val="0"/>
        <extend val="0"/>
        <color indexed="34"/>
      </font>
      <fill>
        <patternFill>
          <bgColor indexed="10"/>
        </patternFill>
      </fill>
      <border>
        <left/>
        <right/>
        <top/>
        <bottom/>
      </border>
    </dxf>
    <dxf>
      <font>
        <color auto="1"/>
      </font>
      <fill>
        <patternFill>
          <bgColor rgb="FFFFFF00"/>
        </patternFill>
      </fill>
      <border>
        <left style="thin">
          <color auto="1"/>
        </left>
        <right style="thin">
          <color auto="1"/>
        </right>
        <top style="thin">
          <color auto="1"/>
        </top>
        <bottom style="thin">
          <color auto="1"/>
        </bottom>
      </border>
    </dxf>
    <dxf>
      <font>
        <color auto="1"/>
      </font>
      <fill>
        <patternFill>
          <bgColor rgb="FFFFC000"/>
        </patternFill>
      </fill>
      <border>
        <left style="thin">
          <color auto="1"/>
        </left>
        <right style="thin">
          <color auto="1"/>
        </right>
        <top style="thin">
          <color auto="1"/>
        </top>
        <bottom style="thin">
          <color auto="1"/>
        </bottom>
        <vertical/>
        <horizontal/>
      </border>
    </dxf>
    <dxf>
      <font>
        <strike val="0"/>
        <color rgb="FFFF0000"/>
      </font>
    </dxf>
    <dxf>
      <font>
        <color auto="1"/>
      </font>
      <fill>
        <patternFill>
          <bgColor rgb="FFFFFF00"/>
        </patternFill>
      </fill>
      <border>
        <left style="thin">
          <color auto="1"/>
        </left>
        <right style="thin">
          <color auto="1"/>
        </right>
        <top style="thin">
          <color auto="1"/>
        </top>
        <bottom style="thin">
          <color auto="1"/>
        </bottom>
      </border>
    </dxf>
    <dxf>
      <font>
        <color auto="1"/>
      </font>
      <fill>
        <patternFill>
          <bgColor rgb="FFFFC000"/>
        </patternFill>
      </fill>
      <border>
        <left style="thin">
          <color auto="1"/>
        </left>
        <right style="thin">
          <color auto="1"/>
        </right>
        <top style="thin">
          <color auto="1"/>
        </top>
        <bottom style="thin">
          <color auto="1"/>
        </bottom>
        <vertical/>
        <horizontal/>
      </border>
    </dxf>
    <dxf>
      <font>
        <color auto="1"/>
      </font>
      <fill>
        <patternFill>
          <bgColor rgb="FFFFFF00"/>
        </patternFill>
      </fill>
      <border>
        <left style="thin">
          <color auto="1"/>
        </left>
        <right style="thin">
          <color auto="1"/>
        </right>
        <top style="thin">
          <color auto="1"/>
        </top>
        <bottom style="thin">
          <color auto="1"/>
        </bottom>
      </border>
    </dxf>
    <dxf>
      <font>
        <color auto="1"/>
      </font>
      <fill>
        <patternFill>
          <bgColor rgb="FFFFFF00"/>
        </patternFill>
      </fill>
      <border>
        <left style="thin">
          <color auto="1"/>
        </left>
        <right style="thin">
          <color auto="1"/>
        </right>
        <top style="thin">
          <color auto="1"/>
        </top>
        <bottom style="thin">
          <color auto="1"/>
        </bottom>
      </border>
    </dxf>
    <dxf>
      <font>
        <color rgb="FFFFC000"/>
      </font>
      <fill>
        <patternFill>
          <bgColor rgb="FFFFC000"/>
        </patternFill>
      </fill>
    </dxf>
    <dxf>
      <font>
        <color auto="1"/>
      </font>
      <fill>
        <patternFill>
          <bgColor rgb="FFFFC000"/>
        </patternFill>
      </fill>
      <border>
        <left style="thin">
          <color auto="1"/>
        </left>
        <right style="thin">
          <color auto="1"/>
        </right>
        <top style="thin">
          <color auto="1"/>
        </top>
        <bottom style="thin">
          <color auto="1"/>
        </bottom>
        <vertical/>
        <horizontal/>
      </border>
    </dxf>
    <dxf>
      <font>
        <color auto="1"/>
      </font>
      <fill>
        <patternFill>
          <bgColor rgb="FFFFC000"/>
        </patternFill>
      </fill>
      <border>
        <left style="thin">
          <color auto="1"/>
        </left>
        <right style="thin">
          <color auto="1"/>
        </right>
        <top style="thin">
          <color auto="1"/>
        </top>
        <bottom style="thin">
          <color auto="1"/>
        </bottom>
        <vertical/>
        <horizontal/>
      </border>
    </dxf>
    <dxf>
      <font>
        <color rgb="FFFFC000"/>
      </font>
    </dxf>
    <dxf>
      <font>
        <color rgb="FFFFC000"/>
      </font>
      <fill>
        <patternFill>
          <bgColor rgb="FFFFC000"/>
        </patternFill>
      </fill>
    </dxf>
    <dxf>
      <font>
        <b/>
        <i val="0"/>
        <color rgb="FFFF0000"/>
      </font>
    </dxf>
    <dxf>
      <font>
        <color auto="1"/>
      </font>
      <fill>
        <patternFill>
          <bgColor rgb="FFFFC000"/>
        </patternFill>
      </fill>
    </dxf>
    <dxf>
      <font>
        <color rgb="FFFFC000"/>
      </font>
      <fill>
        <patternFill>
          <bgColor rgb="FFFFC000"/>
        </patternFill>
      </fill>
    </dxf>
  </dxfs>
  <tableStyles count="0" defaultTableStyle="TableStyleMedium9" defaultPivotStyle="PivotStyleLight16"/>
  <colors>
    <mruColors>
      <color rgb="FFFFFF99"/>
      <color rgb="FFCCFFFF"/>
      <color rgb="FFCCCCFF"/>
      <color rgb="FF7DC4A2"/>
      <color rgb="FF7AC0A0"/>
      <color rgb="FF2A9AA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indent="0" algn="ctr" defTabSz="914400" rtl="0" eaLnBrk="1" fontAlgn="auto" latinLnBrk="0" hangingPunct="1">
              <a:lnSpc>
                <a:spcPct val="100000"/>
              </a:lnSpc>
              <a:spcBef>
                <a:spcPts val="0"/>
              </a:spcBef>
              <a:spcAft>
                <a:spcPts val="0"/>
              </a:spcAft>
              <a:buClrTx/>
              <a:buSzTx/>
              <a:buFontTx/>
              <a:buNone/>
              <a:tabLst/>
              <a:defRPr sz="1800" b="1" i="0" u="none" strike="noStrike" kern="1200" baseline="0">
                <a:solidFill>
                  <a:sysClr val="windowText" lastClr="000000"/>
                </a:solidFill>
                <a:latin typeface="+mn-lt"/>
                <a:ea typeface="+mn-ea"/>
                <a:cs typeface="+mn-cs"/>
              </a:defRPr>
            </a:pPr>
            <a:r>
              <a:rPr lang="en-GB" sz="1000" b="0" i="0" baseline="0">
                <a:effectLst/>
              </a:rPr>
              <a:t>Risk of cross-hearing if masking is not used</a:t>
            </a:r>
            <a:r>
              <a:rPr lang="en-GB" sz="800" b="0"/>
              <a:t> </a:t>
            </a:r>
          </a:p>
        </c:rich>
      </c:tx>
      <c:layout>
        <c:manualLayout>
          <c:xMode val="edge"/>
          <c:yMode val="edge"/>
          <c:x val="0.16412744445066657"/>
          <c:y val="0.25845764953211542"/>
        </c:manualLayout>
      </c:layout>
      <c:overlay val="1"/>
    </c:title>
    <c:autoTitleDeleted val="0"/>
    <c:view3D>
      <c:rotX val="0"/>
      <c:hPercent val="500"/>
      <c:rotY val="0"/>
      <c:depthPercent val="100"/>
      <c:rAngAx val="0"/>
      <c:perspective val="0"/>
    </c:view3D>
    <c:floor>
      <c:thickness val="0"/>
    </c:floor>
    <c:sideWall>
      <c:thickness val="0"/>
      <c:spPr>
        <a:gradFill flip="none" rotWithShape="1">
          <a:gsLst>
            <a:gs pos="70000">
              <a:srgbClr val="FF6000"/>
            </a:gs>
            <a:gs pos="55000">
              <a:srgbClr val="FFB000"/>
            </a:gs>
            <a:gs pos="36000">
              <a:srgbClr val="FFFF00"/>
            </a:gs>
            <a:gs pos="32000">
              <a:srgbClr val="92D050"/>
            </a:gs>
            <a:gs pos="0">
              <a:srgbClr val="92D050"/>
            </a:gs>
            <a:gs pos="100000">
              <a:srgbClr val="FF0000"/>
            </a:gs>
          </a:gsLst>
          <a:lin ang="0" scaled="0"/>
          <a:tileRect/>
        </a:gradFill>
        <a:ln>
          <a:solidFill>
            <a:schemeClr val="tx1"/>
          </a:solidFill>
        </a:ln>
      </c:spPr>
    </c:sideWall>
    <c:backWall>
      <c:thickness val="0"/>
      <c:spPr>
        <a:gradFill flip="none" rotWithShape="1">
          <a:gsLst>
            <a:gs pos="70000">
              <a:srgbClr val="FF6000"/>
            </a:gs>
            <a:gs pos="55000">
              <a:srgbClr val="FFB000"/>
            </a:gs>
            <a:gs pos="36000">
              <a:srgbClr val="FFFF00"/>
            </a:gs>
            <a:gs pos="32000">
              <a:srgbClr val="92D050"/>
            </a:gs>
            <a:gs pos="0">
              <a:srgbClr val="92D050"/>
            </a:gs>
            <a:gs pos="100000">
              <a:srgbClr val="FF0000"/>
            </a:gs>
          </a:gsLst>
          <a:lin ang="0" scaled="0"/>
          <a:tileRect/>
        </a:gradFill>
        <a:ln>
          <a:solidFill>
            <a:schemeClr val="tx1"/>
          </a:solidFill>
        </a:ln>
      </c:spPr>
    </c:backWall>
    <c:plotArea>
      <c:layout>
        <c:manualLayout>
          <c:layoutTarget val="inner"/>
          <c:xMode val="edge"/>
          <c:yMode val="edge"/>
          <c:x val="5.2773399736168361E-2"/>
          <c:y val="0.5406958473115816"/>
          <c:w val="0.8944527636452102"/>
          <c:h val="0.34536168314838761"/>
        </c:manualLayout>
      </c:layout>
      <c:bar3DChart>
        <c:barDir val="bar"/>
        <c:grouping val="stacked"/>
        <c:varyColors val="0"/>
        <c:ser>
          <c:idx val="0"/>
          <c:order val="0"/>
          <c:spPr>
            <a:solidFill>
              <a:srgbClr val="FF0000"/>
            </a:solidFill>
          </c:spPr>
          <c:invertIfNegative val="1"/>
          <c:val>
            <c:numRef>
              <c:f>Calculator!$I$16</c:f>
              <c:numCache>
                <c:formatCode>General</c:formatCode>
                <c:ptCount val="1"/>
                <c:pt idx="0">
                  <c:v>-14</c:v>
                </c:pt>
              </c:numCache>
            </c:numRef>
          </c:val>
          <c:extLst>
            <c:ext xmlns:c14="http://schemas.microsoft.com/office/drawing/2007/8/2/chart" uri="{6F2FDCE9-48DA-4B69-8628-5D25D57E5C99}">
              <c14:invertSolidFillFmt>
                <c14:spPr xmlns:c14="http://schemas.microsoft.com/office/drawing/2007/8/2/chart">
                  <a:solidFill>
                    <a:srgbClr val="FFFFFF"/>
                  </a:solidFill>
                </c14:spPr>
              </c14:invertSolidFillFmt>
            </c:ext>
            <c:ext xmlns:c16="http://schemas.microsoft.com/office/drawing/2014/chart" uri="{C3380CC4-5D6E-409C-BE32-E72D297353CC}">
              <c16:uniqueId val="{00000000-9C8A-4BFF-ABD1-926D1E5C840D}"/>
            </c:ext>
          </c:extLst>
        </c:ser>
        <c:dLbls>
          <c:showLegendKey val="0"/>
          <c:showVal val="0"/>
          <c:showCatName val="0"/>
          <c:showSerName val="0"/>
          <c:showPercent val="0"/>
          <c:showBubbleSize val="0"/>
        </c:dLbls>
        <c:gapWidth val="78"/>
        <c:shape val="cylinder"/>
        <c:axId val="191163008"/>
        <c:axId val="191205760"/>
        <c:axId val="0"/>
      </c:bar3DChart>
      <c:catAx>
        <c:axId val="191163008"/>
        <c:scaling>
          <c:orientation val="minMax"/>
        </c:scaling>
        <c:delete val="0"/>
        <c:axPos val="l"/>
        <c:majorTickMark val="none"/>
        <c:minorTickMark val="none"/>
        <c:tickLblPos val="none"/>
        <c:spPr>
          <a:ln w="25400">
            <a:solidFill>
              <a:schemeClr val="tx1"/>
            </a:solidFill>
          </a:ln>
        </c:spPr>
        <c:crossAx val="191205760"/>
        <c:crossesAt val="0"/>
        <c:auto val="1"/>
        <c:lblAlgn val="ctr"/>
        <c:lblOffset val="100"/>
        <c:noMultiLvlLbl val="0"/>
      </c:catAx>
      <c:valAx>
        <c:axId val="191205760"/>
        <c:scaling>
          <c:orientation val="minMax"/>
          <c:max val="40"/>
          <c:min val="-20"/>
        </c:scaling>
        <c:delete val="1"/>
        <c:axPos val="b"/>
        <c:majorGridlines>
          <c:spPr>
            <a:ln>
              <a:solidFill>
                <a:schemeClr val="tx1"/>
              </a:solidFill>
            </a:ln>
          </c:spPr>
        </c:majorGridlines>
        <c:numFmt formatCode="General" sourceLinked="1"/>
        <c:majorTickMark val="out"/>
        <c:minorTickMark val="none"/>
        <c:tickLblPos val="nextTo"/>
        <c:crossAx val="191163008"/>
        <c:crosses val="autoZero"/>
        <c:crossBetween val="between"/>
        <c:majorUnit val="20"/>
        <c:minorUnit val="20"/>
      </c:valAx>
      <c:spPr>
        <a:noFill/>
        <a:ln w="25400">
          <a:noFill/>
        </a:ln>
      </c:spPr>
    </c:plotArea>
    <c:plotVisOnly val="1"/>
    <c:dispBlanksAs val="gap"/>
    <c:showDLblsOverMax val="0"/>
  </c:chart>
  <c:spPr>
    <a:noFill/>
    <a:ln>
      <a:noFill/>
    </a:ln>
  </c:sp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indent="0" algn="ctr" defTabSz="914400" rtl="0" eaLnBrk="1" fontAlgn="auto" latinLnBrk="0" hangingPunct="1">
              <a:lnSpc>
                <a:spcPct val="100000"/>
              </a:lnSpc>
              <a:spcBef>
                <a:spcPts val="0"/>
              </a:spcBef>
              <a:spcAft>
                <a:spcPts val="0"/>
              </a:spcAft>
              <a:buClrTx/>
              <a:buSzTx/>
              <a:buFontTx/>
              <a:buNone/>
              <a:tabLst/>
              <a:defRPr sz="1800" b="1" i="0" u="none" strike="noStrike" kern="1200" baseline="0">
                <a:solidFill>
                  <a:sysClr val="windowText" lastClr="000000"/>
                </a:solidFill>
                <a:latin typeface="+mn-lt"/>
                <a:ea typeface="+mn-ea"/>
                <a:cs typeface="+mn-cs"/>
              </a:defRPr>
            </a:pPr>
            <a:r>
              <a:rPr lang="en-GB" sz="1000" b="0" i="0" baseline="0">
                <a:effectLst/>
              </a:rPr>
              <a:t>Risk of cross-masking if masking is used</a:t>
            </a:r>
            <a:r>
              <a:rPr lang="en-GB" sz="800" b="0"/>
              <a:t> </a:t>
            </a:r>
          </a:p>
        </c:rich>
      </c:tx>
      <c:layout>
        <c:manualLayout>
          <c:xMode val="edge"/>
          <c:yMode val="edge"/>
          <c:x val="0.19060793871354315"/>
          <c:y val="0.30215561764456866"/>
        </c:manualLayout>
      </c:layout>
      <c:overlay val="1"/>
    </c:title>
    <c:autoTitleDeleted val="0"/>
    <c:view3D>
      <c:rotX val="0"/>
      <c:hPercent val="500"/>
      <c:rotY val="0"/>
      <c:depthPercent val="100"/>
      <c:rAngAx val="0"/>
      <c:perspective val="0"/>
    </c:view3D>
    <c:floor>
      <c:thickness val="0"/>
    </c:floor>
    <c:sideWall>
      <c:thickness val="0"/>
      <c:spPr>
        <a:gradFill flip="none" rotWithShape="1">
          <a:gsLst>
            <a:gs pos="70000">
              <a:srgbClr val="FF6000"/>
            </a:gs>
            <a:gs pos="55000">
              <a:srgbClr val="FFB000"/>
            </a:gs>
            <a:gs pos="36000">
              <a:srgbClr val="FFFF00"/>
            </a:gs>
            <a:gs pos="32000">
              <a:srgbClr val="92D050"/>
            </a:gs>
            <a:gs pos="0">
              <a:srgbClr val="92D050"/>
            </a:gs>
            <a:gs pos="100000">
              <a:srgbClr val="FF0000"/>
            </a:gs>
          </a:gsLst>
          <a:lin ang="0" scaled="0"/>
          <a:tileRect/>
        </a:gradFill>
        <a:ln>
          <a:solidFill>
            <a:schemeClr val="tx1"/>
          </a:solidFill>
        </a:ln>
      </c:spPr>
    </c:sideWall>
    <c:backWall>
      <c:thickness val="0"/>
      <c:spPr>
        <a:gradFill flip="none" rotWithShape="1">
          <a:gsLst>
            <a:gs pos="70000">
              <a:srgbClr val="FF6000"/>
            </a:gs>
            <a:gs pos="55000">
              <a:srgbClr val="FFB000"/>
            </a:gs>
            <a:gs pos="36000">
              <a:srgbClr val="FFFF00"/>
            </a:gs>
            <a:gs pos="32000">
              <a:srgbClr val="92D050"/>
            </a:gs>
            <a:gs pos="0">
              <a:srgbClr val="92D050"/>
            </a:gs>
            <a:gs pos="100000">
              <a:srgbClr val="FF0000"/>
            </a:gs>
          </a:gsLst>
          <a:lin ang="0" scaled="0"/>
          <a:tileRect/>
        </a:gradFill>
        <a:ln>
          <a:solidFill>
            <a:schemeClr val="tx1"/>
          </a:solidFill>
        </a:ln>
      </c:spPr>
    </c:backWall>
    <c:plotArea>
      <c:layout>
        <c:manualLayout>
          <c:layoutTarget val="inner"/>
          <c:xMode val="edge"/>
          <c:yMode val="edge"/>
          <c:x val="5.2773399736168361E-2"/>
          <c:y val="0.5406958473115816"/>
          <c:w val="0.8944527636452102"/>
          <c:h val="0.34536168314838761"/>
        </c:manualLayout>
      </c:layout>
      <c:bar3DChart>
        <c:barDir val="bar"/>
        <c:grouping val="stacked"/>
        <c:varyColors val="0"/>
        <c:ser>
          <c:idx val="0"/>
          <c:order val="0"/>
          <c:spPr>
            <a:solidFill>
              <a:srgbClr val="FF0000"/>
            </a:solidFill>
          </c:spPr>
          <c:invertIfNegative val="1"/>
          <c:val>
            <c:numRef>
              <c:f>'500'!$J$16</c:f>
              <c:numCache>
                <c:formatCode>0</c:formatCode>
                <c:ptCount val="1"/>
                <c:pt idx="0">
                  <c:v>-45</c:v>
                </c:pt>
              </c:numCache>
            </c:numRef>
          </c:val>
          <c:extLst>
            <c:ext xmlns:c14="http://schemas.microsoft.com/office/drawing/2007/8/2/chart" uri="{6F2FDCE9-48DA-4B69-8628-5D25D57E5C99}">
              <c14:invertSolidFillFmt>
                <c14:spPr xmlns:c14="http://schemas.microsoft.com/office/drawing/2007/8/2/chart">
                  <a:solidFill>
                    <a:srgbClr val="FFFFFF"/>
                  </a:solidFill>
                </c14:spPr>
              </c14:invertSolidFillFmt>
            </c:ext>
            <c:ext xmlns:c16="http://schemas.microsoft.com/office/drawing/2014/chart" uri="{C3380CC4-5D6E-409C-BE32-E72D297353CC}">
              <c16:uniqueId val="{00000000-1590-4397-8556-E6FA87B8F8F3}"/>
            </c:ext>
          </c:extLst>
        </c:ser>
        <c:dLbls>
          <c:showLegendKey val="0"/>
          <c:showVal val="0"/>
          <c:showCatName val="0"/>
          <c:showSerName val="0"/>
          <c:showPercent val="0"/>
          <c:showBubbleSize val="0"/>
        </c:dLbls>
        <c:gapWidth val="78"/>
        <c:shape val="cylinder"/>
        <c:axId val="199376256"/>
        <c:axId val="199386240"/>
        <c:axId val="0"/>
      </c:bar3DChart>
      <c:catAx>
        <c:axId val="199376256"/>
        <c:scaling>
          <c:orientation val="minMax"/>
        </c:scaling>
        <c:delete val="0"/>
        <c:axPos val="l"/>
        <c:majorTickMark val="none"/>
        <c:minorTickMark val="none"/>
        <c:tickLblPos val="none"/>
        <c:spPr>
          <a:ln w="25400">
            <a:solidFill>
              <a:schemeClr val="tx1"/>
            </a:solidFill>
          </a:ln>
        </c:spPr>
        <c:crossAx val="199386240"/>
        <c:crossesAt val="0"/>
        <c:auto val="1"/>
        <c:lblAlgn val="ctr"/>
        <c:lblOffset val="100"/>
        <c:noMultiLvlLbl val="0"/>
      </c:catAx>
      <c:valAx>
        <c:axId val="199386240"/>
        <c:scaling>
          <c:orientation val="minMax"/>
          <c:max val="40"/>
          <c:min val="-20"/>
        </c:scaling>
        <c:delete val="1"/>
        <c:axPos val="b"/>
        <c:majorGridlines>
          <c:spPr>
            <a:ln>
              <a:solidFill>
                <a:schemeClr val="tx1"/>
              </a:solidFill>
            </a:ln>
          </c:spPr>
        </c:majorGridlines>
        <c:numFmt formatCode="0" sourceLinked="1"/>
        <c:majorTickMark val="out"/>
        <c:minorTickMark val="none"/>
        <c:tickLblPos val="nextTo"/>
        <c:crossAx val="199376256"/>
        <c:crosses val="autoZero"/>
        <c:crossBetween val="between"/>
        <c:majorUnit val="20"/>
        <c:minorUnit val="20"/>
      </c:valAx>
      <c:spPr>
        <a:noFill/>
        <a:ln w="25400">
          <a:noFill/>
        </a:ln>
      </c:spPr>
    </c:plotArea>
    <c:plotVisOnly val="1"/>
    <c:dispBlanksAs val="gap"/>
    <c:showDLblsOverMax val="0"/>
  </c:chart>
  <c:spPr>
    <a:noFill/>
    <a:ln>
      <a:no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indent="0" algn="ctr" defTabSz="914400" rtl="0" eaLnBrk="1" fontAlgn="auto" latinLnBrk="0" hangingPunct="1">
              <a:lnSpc>
                <a:spcPct val="100000"/>
              </a:lnSpc>
              <a:spcBef>
                <a:spcPts val="0"/>
              </a:spcBef>
              <a:spcAft>
                <a:spcPts val="0"/>
              </a:spcAft>
              <a:buClrTx/>
              <a:buSzTx/>
              <a:buFontTx/>
              <a:buNone/>
              <a:tabLst/>
              <a:defRPr sz="1800" b="1" i="0" u="none" strike="noStrike" kern="1200" baseline="0">
                <a:solidFill>
                  <a:sysClr val="windowText" lastClr="000000"/>
                </a:solidFill>
                <a:latin typeface="+mn-lt"/>
                <a:ea typeface="+mn-ea"/>
                <a:cs typeface="+mn-cs"/>
              </a:defRPr>
            </a:pPr>
            <a:r>
              <a:rPr lang="en-GB" sz="1000" b="0" i="0" baseline="0">
                <a:effectLst/>
              </a:rPr>
              <a:t>Risk of cross-masking if masking is used</a:t>
            </a:r>
            <a:r>
              <a:rPr lang="en-GB" sz="800" b="0"/>
              <a:t> </a:t>
            </a:r>
          </a:p>
        </c:rich>
      </c:tx>
      <c:layout>
        <c:manualLayout>
          <c:xMode val="edge"/>
          <c:yMode val="edge"/>
          <c:x val="0.19434998383832311"/>
          <c:y val="0.25860419393371326"/>
        </c:manualLayout>
      </c:layout>
      <c:overlay val="1"/>
    </c:title>
    <c:autoTitleDeleted val="0"/>
    <c:view3D>
      <c:rotX val="0"/>
      <c:hPercent val="500"/>
      <c:rotY val="0"/>
      <c:depthPercent val="100"/>
      <c:rAngAx val="0"/>
      <c:perspective val="0"/>
    </c:view3D>
    <c:floor>
      <c:thickness val="0"/>
    </c:floor>
    <c:sideWall>
      <c:thickness val="0"/>
      <c:spPr>
        <a:gradFill flip="none" rotWithShape="1">
          <a:gsLst>
            <a:gs pos="70000">
              <a:srgbClr val="FF6000"/>
            </a:gs>
            <a:gs pos="55000">
              <a:srgbClr val="FFB000"/>
            </a:gs>
            <a:gs pos="36000">
              <a:srgbClr val="FFFF00"/>
            </a:gs>
            <a:gs pos="32000">
              <a:srgbClr val="92D050"/>
            </a:gs>
            <a:gs pos="0">
              <a:srgbClr val="92D050"/>
            </a:gs>
            <a:gs pos="100000">
              <a:srgbClr val="FF0000"/>
            </a:gs>
          </a:gsLst>
          <a:lin ang="0" scaled="0"/>
          <a:tileRect/>
        </a:gradFill>
        <a:ln>
          <a:solidFill>
            <a:schemeClr val="tx1"/>
          </a:solidFill>
        </a:ln>
      </c:spPr>
    </c:sideWall>
    <c:backWall>
      <c:thickness val="0"/>
      <c:spPr>
        <a:gradFill flip="none" rotWithShape="1">
          <a:gsLst>
            <a:gs pos="70000">
              <a:srgbClr val="FF6000"/>
            </a:gs>
            <a:gs pos="55000">
              <a:srgbClr val="FFB000"/>
            </a:gs>
            <a:gs pos="36000">
              <a:srgbClr val="FFFF00"/>
            </a:gs>
            <a:gs pos="32000">
              <a:srgbClr val="92D050"/>
            </a:gs>
            <a:gs pos="0">
              <a:srgbClr val="92D050"/>
            </a:gs>
            <a:gs pos="100000">
              <a:srgbClr val="FF0000"/>
            </a:gs>
          </a:gsLst>
          <a:lin ang="0" scaled="0"/>
          <a:tileRect/>
        </a:gradFill>
        <a:ln>
          <a:solidFill>
            <a:schemeClr val="tx1"/>
          </a:solidFill>
        </a:ln>
      </c:spPr>
    </c:backWall>
    <c:plotArea>
      <c:layout>
        <c:manualLayout>
          <c:layoutTarget val="inner"/>
          <c:xMode val="edge"/>
          <c:yMode val="edge"/>
          <c:x val="5.2773399736168361E-2"/>
          <c:y val="0.5406958473115816"/>
          <c:w val="0.8944527636452102"/>
          <c:h val="0.34536168314838761"/>
        </c:manualLayout>
      </c:layout>
      <c:bar3DChart>
        <c:barDir val="bar"/>
        <c:grouping val="stacked"/>
        <c:varyColors val="0"/>
        <c:ser>
          <c:idx val="0"/>
          <c:order val="0"/>
          <c:spPr>
            <a:solidFill>
              <a:srgbClr val="FF0000"/>
            </a:solidFill>
          </c:spPr>
          <c:invertIfNegative val="1"/>
          <c:val>
            <c:numRef>
              <c:f>Calculator!$J$16</c:f>
              <c:numCache>
                <c:formatCode>0</c:formatCode>
                <c:ptCount val="1"/>
                <c:pt idx="0">
                  <c:v>-45</c:v>
                </c:pt>
              </c:numCache>
            </c:numRef>
          </c:val>
          <c:extLst>
            <c:ext xmlns:c14="http://schemas.microsoft.com/office/drawing/2007/8/2/chart" uri="{6F2FDCE9-48DA-4B69-8628-5D25D57E5C99}">
              <c14:invertSolidFillFmt>
                <c14:spPr xmlns:c14="http://schemas.microsoft.com/office/drawing/2007/8/2/chart">
                  <a:solidFill>
                    <a:srgbClr val="FFFFFF"/>
                  </a:solidFill>
                </c14:spPr>
              </c14:invertSolidFillFmt>
            </c:ext>
            <c:ext xmlns:c16="http://schemas.microsoft.com/office/drawing/2014/chart" uri="{C3380CC4-5D6E-409C-BE32-E72D297353CC}">
              <c16:uniqueId val="{00000000-204A-4F7A-896E-E2D49EAD802C}"/>
            </c:ext>
          </c:extLst>
        </c:ser>
        <c:dLbls>
          <c:showLegendKey val="0"/>
          <c:showVal val="0"/>
          <c:showCatName val="0"/>
          <c:showSerName val="0"/>
          <c:showPercent val="0"/>
          <c:showBubbleSize val="0"/>
        </c:dLbls>
        <c:gapWidth val="78"/>
        <c:shape val="cylinder"/>
        <c:axId val="198914816"/>
        <c:axId val="198916352"/>
        <c:axId val="0"/>
      </c:bar3DChart>
      <c:catAx>
        <c:axId val="198914816"/>
        <c:scaling>
          <c:orientation val="minMax"/>
        </c:scaling>
        <c:delete val="0"/>
        <c:axPos val="l"/>
        <c:majorTickMark val="none"/>
        <c:minorTickMark val="none"/>
        <c:tickLblPos val="none"/>
        <c:spPr>
          <a:ln w="25400">
            <a:solidFill>
              <a:schemeClr val="tx1"/>
            </a:solidFill>
          </a:ln>
        </c:spPr>
        <c:crossAx val="198916352"/>
        <c:crossesAt val="0"/>
        <c:auto val="1"/>
        <c:lblAlgn val="ctr"/>
        <c:lblOffset val="100"/>
        <c:noMultiLvlLbl val="0"/>
      </c:catAx>
      <c:valAx>
        <c:axId val="198916352"/>
        <c:scaling>
          <c:orientation val="minMax"/>
          <c:max val="40"/>
          <c:min val="-20"/>
        </c:scaling>
        <c:delete val="1"/>
        <c:axPos val="b"/>
        <c:majorGridlines>
          <c:spPr>
            <a:ln>
              <a:solidFill>
                <a:schemeClr val="tx1"/>
              </a:solidFill>
            </a:ln>
          </c:spPr>
        </c:majorGridlines>
        <c:numFmt formatCode="0" sourceLinked="1"/>
        <c:majorTickMark val="out"/>
        <c:minorTickMark val="none"/>
        <c:tickLblPos val="nextTo"/>
        <c:crossAx val="198914816"/>
        <c:crosses val="autoZero"/>
        <c:crossBetween val="between"/>
        <c:majorUnit val="20"/>
        <c:minorUnit val="20"/>
      </c:valAx>
      <c:spPr>
        <a:noFill/>
        <a:ln w="25400">
          <a:noFill/>
        </a:ln>
      </c:spPr>
    </c:plotArea>
    <c:plotVisOnly val="1"/>
    <c:dispBlanksAs val="gap"/>
    <c:showDLblsOverMax val="0"/>
  </c:chart>
  <c:spPr>
    <a:noFill/>
    <a:ln>
      <a:noFill/>
    </a:ln>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sz="1000" b="0"/>
              <a:t>Risk of cross-hearing without</a:t>
            </a:r>
            <a:r>
              <a:rPr lang="en-GB" sz="1000" b="0" baseline="0"/>
              <a:t> masking</a:t>
            </a:r>
            <a:endParaRPr lang="en-GB" sz="1000" b="0"/>
          </a:p>
        </c:rich>
      </c:tx>
      <c:layout>
        <c:manualLayout>
          <c:xMode val="edge"/>
          <c:yMode val="edge"/>
          <c:x val="0.11613166633740675"/>
          <c:y val="0.15676216004914278"/>
        </c:manualLayout>
      </c:layout>
      <c:overlay val="1"/>
    </c:title>
    <c:autoTitleDeleted val="0"/>
    <c:view3D>
      <c:rotX val="0"/>
      <c:hPercent val="500"/>
      <c:rotY val="0"/>
      <c:depthPercent val="100"/>
      <c:rAngAx val="0"/>
      <c:perspective val="0"/>
    </c:view3D>
    <c:floor>
      <c:thickness val="0"/>
    </c:floor>
    <c:sideWall>
      <c:thickness val="0"/>
      <c:spPr>
        <a:gradFill flip="none" rotWithShape="1">
          <a:gsLst>
            <a:gs pos="70000">
              <a:srgbClr val="FF6000"/>
            </a:gs>
            <a:gs pos="55000">
              <a:srgbClr val="FFB000"/>
            </a:gs>
            <a:gs pos="36000">
              <a:srgbClr val="FFFF00"/>
            </a:gs>
            <a:gs pos="32000">
              <a:srgbClr val="92D050"/>
            </a:gs>
            <a:gs pos="0">
              <a:srgbClr val="92D050"/>
            </a:gs>
            <a:gs pos="100000">
              <a:srgbClr val="FF0000"/>
            </a:gs>
          </a:gsLst>
          <a:lin ang="0" scaled="0"/>
          <a:tileRect/>
        </a:gradFill>
        <a:ln>
          <a:solidFill>
            <a:schemeClr val="tx1"/>
          </a:solidFill>
        </a:ln>
      </c:spPr>
    </c:sideWall>
    <c:backWall>
      <c:thickness val="0"/>
      <c:spPr>
        <a:gradFill flip="none" rotWithShape="1">
          <a:gsLst>
            <a:gs pos="70000">
              <a:srgbClr val="FF6000"/>
            </a:gs>
            <a:gs pos="55000">
              <a:srgbClr val="FFB000"/>
            </a:gs>
            <a:gs pos="36000">
              <a:srgbClr val="FFFF00"/>
            </a:gs>
            <a:gs pos="32000">
              <a:srgbClr val="92D050"/>
            </a:gs>
            <a:gs pos="0">
              <a:srgbClr val="92D050"/>
            </a:gs>
            <a:gs pos="100000">
              <a:srgbClr val="FF0000"/>
            </a:gs>
          </a:gsLst>
          <a:lin ang="0" scaled="0"/>
          <a:tileRect/>
        </a:gradFill>
        <a:ln>
          <a:solidFill>
            <a:schemeClr val="tx1"/>
          </a:solidFill>
        </a:ln>
      </c:spPr>
    </c:backWall>
    <c:plotArea>
      <c:layout>
        <c:manualLayout>
          <c:layoutTarget val="inner"/>
          <c:xMode val="edge"/>
          <c:yMode val="edge"/>
          <c:x val="5.4295858184377793E-2"/>
          <c:y val="0.38522190820177021"/>
          <c:w val="0.8944527636452102"/>
          <c:h val="0.34536168314838761"/>
        </c:manualLayout>
      </c:layout>
      <c:bar3DChart>
        <c:barDir val="bar"/>
        <c:grouping val="stacked"/>
        <c:varyColors val="0"/>
        <c:ser>
          <c:idx val="0"/>
          <c:order val="0"/>
          <c:spPr>
            <a:solidFill>
              <a:srgbClr val="FF0000"/>
            </a:solidFill>
          </c:spPr>
          <c:invertIfNegative val="1"/>
          <c:val>
            <c:numRef>
              <c:f>'4k'!$I$16</c:f>
              <c:numCache>
                <c:formatCode>General</c:formatCode>
                <c:ptCount val="1"/>
                <c:pt idx="0">
                  <c:v>-37</c:v>
                </c:pt>
              </c:numCache>
            </c:numRef>
          </c:val>
          <c:extLst>
            <c:ext xmlns:c14="http://schemas.microsoft.com/office/drawing/2007/8/2/chart" uri="{6F2FDCE9-48DA-4B69-8628-5D25D57E5C99}">
              <c14:invertSolidFillFmt>
                <c14:spPr xmlns:c14="http://schemas.microsoft.com/office/drawing/2007/8/2/chart">
                  <a:solidFill>
                    <a:srgbClr val="FFFFFF"/>
                  </a:solidFill>
                </c14:spPr>
              </c14:invertSolidFillFmt>
            </c:ext>
            <c:ext xmlns:c16="http://schemas.microsoft.com/office/drawing/2014/chart" uri="{C3380CC4-5D6E-409C-BE32-E72D297353CC}">
              <c16:uniqueId val="{00000000-0ED6-4D23-A410-73ACEEE17CA9}"/>
            </c:ext>
          </c:extLst>
        </c:ser>
        <c:dLbls>
          <c:showLegendKey val="0"/>
          <c:showVal val="0"/>
          <c:showCatName val="0"/>
          <c:showSerName val="0"/>
          <c:showPercent val="0"/>
          <c:showBubbleSize val="0"/>
        </c:dLbls>
        <c:gapWidth val="78"/>
        <c:shape val="cylinder"/>
        <c:axId val="191373312"/>
        <c:axId val="191374848"/>
        <c:axId val="0"/>
      </c:bar3DChart>
      <c:catAx>
        <c:axId val="191373312"/>
        <c:scaling>
          <c:orientation val="minMax"/>
        </c:scaling>
        <c:delete val="0"/>
        <c:axPos val="l"/>
        <c:majorTickMark val="none"/>
        <c:minorTickMark val="none"/>
        <c:tickLblPos val="none"/>
        <c:spPr>
          <a:ln w="25400">
            <a:solidFill>
              <a:schemeClr val="tx1"/>
            </a:solidFill>
          </a:ln>
        </c:spPr>
        <c:crossAx val="191374848"/>
        <c:crossesAt val="0"/>
        <c:auto val="1"/>
        <c:lblAlgn val="ctr"/>
        <c:lblOffset val="100"/>
        <c:noMultiLvlLbl val="0"/>
      </c:catAx>
      <c:valAx>
        <c:axId val="191374848"/>
        <c:scaling>
          <c:orientation val="minMax"/>
          <c:max val="40"/>
          <c:min val="-20"/>
        </c:scaling>
        <c:delete val="1"/>
        <c:axPos val="b"/>
        <c:majorGridlines>
          <c:spPr>
            <a:ln>
              <a:solidFill>
                <a:schemeClr val="tx1"/>
              </a:solidFill>
            </a:ln>
          </c:spPr>
        </c:majorGridlines>
        <c:numFmt formatCode="General" sourceLinked="1"/>
        <c:majorTickMark val="out"/>
        <c:minorTickMark val="none"/>
        <c:tickLblPos val="nextTo"/>
        <c:crossAx val="191373312"/>
        <c:crosses val="autoZero"/>
        <c:crossBetween val="between"/>
        <c:majorUnit val="20"/>
        <c:minorUnit val="20"/>
      </c:valAx>
      <c:spPr>
        <a:noFill/>
        <a:ln w="25400">
          <a:noFill/>
        </a:ln>
      </c:spPr>
    </c:plotArea>
    <c:plotVisOnly val="1"/>
    <c:dispBlanksAs val="gap"/>
    <c:showDLblsOverMax val="0"/>
  </c:chart>
  <c:spPr>
    <a:noFill/>
    <a:ln>
      <a:noFill/>
    </a:ln>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indent="0" algn="ctr" defTabSz="914400" rtl="0" eaLnBrk="1" fontAlgn="auto" latinLnBrk="0" hangingPunct="1">
              <a:lnSpc>
                <a:spcPct val="100000"/>
              </a:lnSpc>
              <a:spcBef>
                <a:spcPts val="0"/>
              </a:spcBef>
              <a:spcAft>
                <a:spcPts val="0"/>
              </a:spcAft>
              <a:buClrTx/>
              <a:buSzTx/>
              <a:buFontTx/>
              <a:buNone/>
              <a:tabLst/>
              <a:defRPr sz="1800" b="1" i="0" u="none" strike="noStrike" kern="1200" baseline="0">
                <a:solidFill>
                  <a:sysClr val="windowText" lastClr="000000"/>
                </a:solidFill>
                <a:latin typeface="+mn-lt"/>
                <a:ea typeface="+mn-ea"/>
                <a:cs typeface="+mn-cs"/>
              </a:defRPr>
            </a:pPr>
            <a:r>
              <a:rPr lang="en-GB" sz="1000" b="0" i="0" baseline="0">
                <a:effectLst/>
              </a:rPr>
              <a:t>Risk of cross-masking if masking is used</a:t>
            </a:r>
            <a:r>
              <a:rPr lang="en-GB" sz="800" b="0"/>
              <a:t> </a:t>
            </a:r>
          </a:p>
        </c:rich>
      </c:tx>
      <c:layout>
        <c:manualLayout>
          <c:xMode val="edge"/>
          <c:yMode val="edge"/>
          <c:x val="0.19060793871354315"/>
          <c:y val="0.30215561764456866"/>
        </c:manualLayout>
      </c:layout>
      <c:overlay val="1"/>
    </c:title>
    <c:autoTitleDeleted val="0"/>
    <c:view3D>
      <c:rotX val="0"/>
      <c:hPercent val="500"/>
      <c:rotY val="0"/>
      <c:depthPercent val="100"/>
      <c:rAngAx val="0"/>
      <c:perspective val="0"/>
    </c:view3D>
    <c:floor>
      <c:thickness val="0"/>
    </c:floor>
    <c:sideWall>
      <c:thickness val="0"/>
      <c:spPr>
        <a:gradFill flip="none" rotWithShape="1">
          <a:gsLst>
            <a:gs pos="70000">
              <a:srgbClr val="FF6000"/>
            </a:gs>
            <a:gs pos="55000">
              <a:srgbClr val="FFB000"/>
            </a:gs>
            <a:gs pos="36000">
              <a:srgbClr val="FFFF00"/>
            </a:gs>
            <a:gs pos="32000">
              <a:srgbClr val="92D050"/>
            </a:gs>
            <a:gs pos="0">
              <a:srgbClr val="92D050"/>
            </a:gs>
            <a:gs pos="100000">
              <a:srgbClr val="FF0000"/>
            </a:gs>
          </a:gsLst>
          <a:lin ang="0" scaled="0"/>
          <a:tileRect/>
        </a:gradFill>
        <a:ln>
          <a:solidFill>
            <a:schemeClr val="tx1"/>
          </a:solidFill>
        </a:ln>
      </c:spPr>
    </c:sideWall>
    <c:backWall>
      <c:thickness val="0"/>
      <c:spPr>
        <a:gradFill flip="none" rotWithShape="1">
          <a:gsLst>
            <a:gs pos="70000">
              <a:srgbClr val="FF6000"/>
            </a:gs>
            <a:gs pos="55000">
              <a:srgbClr val="FFB000"/>
            </a:gs>
            <a:gs pos="36000">
              <a:srgbClr val="FFFF00"/>
            </a:gs>
            <a:gs pos="32000">
              <a:srgbClr val="92D050"/>
            </a:gs>
            <a:gs pos="0">
              <a:srgbClr val="92D050"/>
            </a:gs>
            <a:gs pos="100000">
              <a:srgbClr val="FF0000"/>
            </a:gs>
          </a:gsLst>
          <a:lin ang="0" scaled="0"/>
          <a:tileRect/>
        </a:gradFill>
        <a:ln>
          <a:solidFill>
            <a:schemeClr val="tx1"/>
          </a:solidFill>
        </a:ln>
      </c:spPr>
    </c:backWall>
    <c:plotArea>
      <c:layout>
        <c:manualLayout>
          <c:layoutTarget val="inner"/>
          <c:xMode val="edge"/>
          <c:yMode val="edge"/>
          <c:x val="5.2773399736168361E-2"/>
          <c:y val="0.5406958473115816"/>
          <c:w val="0.8944527636452102"/>
          <c:h val="0.34536168314838761"/>
        </c:manualLayout>
      </c:layout>
      <c:bar3DChart>
        <c:barDir val="bar"/>
        <c:grouping val="stacked"/>
        <c:varyColors val="0"/>
        <c:ser>
          <c:idx val="0"/>
          <c:order val="0"/>
          <c:spPr>
            <a:solidFill>
              <a:srgbClr val="FF0000"/>
            </a:solidFill>
          </c:spPr>
          <c:invertIfNegative val="1"/>
          <c:val>
            <c:numRef>
              <c:f>'4k'!$J$16</c:f>
              <c:numCache>
                <c:formatCode>0</c:formatCode>
                <c:ptCount val="1"/>
                <c:pt idx="0">
                  <c:v>-113</c:v>
                </c:pt>
              </c:numCache>
            </c:numRef>
          </c:val>
          <c:extLst>
            <c:ext xmlns:c14="http://schemas.microsoft.com/office/drawing/2007/8/2/chart" uri="{6F2FDCE9-48DA-4B69-8628-5D25D57E5C99}">
              <c14:invertSolidFillFmt>
                <c14:spPr xmlns:c14="http://schemas.microsoft.com/office/drawing/2007/8/2/chart">
                  <a:solidFill>
                    <a:srgbClr val="FFFFFF"/>
                  </a:solidFill>
                </c14:spPr>
              </c14:invertSolidFillFmt>
            </c:ext>
            <c:ext xmlns:c16="http://schemas.microsoft.com/office/drawing/2014/chart" uri="{C3380CC4-5D6E-409C-BE32-E72D297353CC}">
              <c16:uniqueId val="{00000000-2A50-4E53-A584-6FEF3B3F8BF6}"/>
            </c:ext>
          </c:extLst>
        </c:ser>
        <c:dLbls>
          <c:showLegendKey val="0"/>
          <c:showVal val="0"/>
          <c:showCatName val="0"/>
          <c:showSerName val="0"/>
          <c:showPercent val="0"/>
          <c:showBubbleSize val="0"/>
        </c:dLbls>
        <c:gapWidth val="78"/>
        <c:shape val="cylinder"/>
        <c:axId val="191392768"/>
        <c:axId val="191443712"/>
        <c:axId val="0"/>
      </c:bar3DChart>
      <c:catAx>
        <c:axId val="191392768"/>
        <c:scaling>
          <c:orientation val="minMax"/>
        </c:scaling>
        <c:delete val="0"/>
        <c:axPos val="l"/>
        <c:majorTickMark val="none"/>
        <c:minorTickMark val="none"/>
        <c:tickLblPos val="none"/>
        <c:spPr>
          <a:ln w="25400">
            <a:solidFill>
              <a:schemeClr val="tx1"/>
            </a:solidFill>
          </a:ln>
        </c:spPr>
        <c:crossAx val="191443712"/>
        <c:crossesAt val="0"/>
        <c:auto val="1"/>
        <c:lblAlgn val="ctr"/>
        <c:lblOffset val="100"/>
        <c:noMultiLvlLbl val="0"/>
      </c:catAx>
      <c:valAx>
        <c:axId val="191443712"/>
        <c:scaling>
          <c:orientation val="minMax"/>
          <c:max val="40"/>
          <c:min val="-20"/>
        </c:scaling>
        <c:delete val="1"/>
        <c:axPos val="b"/>
        <c:majorGridlines>
          <c:spPr>
            <a:ln>
              <a:solidFill>
                <a:schemeClr val="tx1"/>
              </a:solidFill>
            </a:ln>
          </c:spPr>
        </c:majorGridlines>
        <c:numFmt formatCode="0" sourceLinked="1"/>
        <c:majorTickMark val="out"/>
        <c:minorTickMark val="none"/>
        <c:tickLblPos val="nextTo"/>
        <c:crossAx val="191392768"/>
        <c:crosses val="autoZero"/>
        <c:crossBetween val="between"/>
        <c:majorUnit val="20"/>
        <c:minorUnit val="20"/>
      </c:valAx>
      <c:spPr>
        <a:noFill/>
        <a:ln w="25400">
          <a:noFill/>
        </a:ln>
      </c:spPr>
    </c:plotArea>
    <c:plotVisOnly val="1"/>
    <c:dispBlanksAs val="gap"/>
    <c:showDLblsOverMax val="0"/>
  </c:chart>
  <c:spPr>
    <a:noFill/>
    <a:ln>
      <a:noFill/>
    </a:ln>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sz="1000" b="0"/>
              <a:t>Risk of cross-hearing without</a:t>
            </a:r>
            <a:r>
              <a:rPr lang="en-GB" sz="1000" b="0" baseline="0"/>
              <a:t> masking</a:t>
            </a:r>
            <a:endParaRPr lang="en-GB" sz="1000" b="0"/>
          </a:p>
        </c:rich>
      </c:tx>
      <c:layout>
        <c:manualLayout>
          <c:xMode val="edge"/>
          <c:yMode val="edge"/>
          <c:x val="0.11613166633740675"/>
          <c:y val="0.15676216004914278"/>
        </c:manualLayout>
      </c:layout>
      <c:overlay val="1"/>
    </c:title>
    <c:autoTitleDeleted val="0"/>
    <c:view3D>
      <c:rotX val="0"/>
      <c:hPercent val="500"/>
      <c:rotY val="0"/>
      <c:depthPercent val="100"/>
      <c:rAngAx val="0"/>
      <c:perspective val="0"/>
    </c:view3D>
    <c:floor>
      <c:thickness val="0"/>
    </c:floor>
    <c:sideWall>
      <c:thickness val="0"/>
      <c:spPr>
        <a:gradFill flip="none" rotWithShape="1">
          <a:gsLst>
            <a:gs pos="70000">
              <a:srgbClr val="FF6000"/>
            </a:gs>
            <a:gs pos="55000">
              <a:srgbClr val="FFB000"/>
            </a:gs>
            <a:gs pos="36000">
              <a:srgbClr val="FFFF00"/>
            </a:gs>
            <a:gs pos="32000">
              <a:srgbClr val="92D050"/>
            </a:gs>
            <a:gs pos="0">
              <a:srgbClr val="92D050"/>
            </a:gs>
            <a:gs pos="100000">
              <a:srgbClr val="FF0000"/>
            </a:gs>
          </a:gsLst>
          <a:lin ang="0" scaled="0"/>
          <a:tileRect/>
        </a:gradFill>
        <a:ln>
          <a:solidFill>
            <a:schemeClr val="tx1"/>
          </a:solidFill>
        </a:ln>
      </c:spPr>
    </c:sideWall>
    <c:backWall>
      <c:thickness val="0"/>
      <c:spPr>
        <a:gradFill flip="none" rotWithShape="1">
          <a:gsLst>
            <a:gs pos="70000">
              <a:srgbClr val="FF6000"/>
            </a:gs>
            <a:gs pos="55000">
              <a:srgbClr val="FFB000"/>
            </a:gs>
            <a:gs pos="36000">
              <a:srgbClr val="FFFF00"/>
            </a:gs>
            <a:gs pos="32000">
              <a:srgbClr val="92D050"/>
            </a:gs>
            <a:gs pos="0">
              <a:srgbClr val="92D050"/>
            </a:gs>
            <a:gs pos="100000">
              <a:srgbClr val="FF0000"/>
            </a:gs>
          </a:gsLst>
          <a:lin ang="0" scaled="0"/>
          <a:tileRect/>
        </a:gradFill>
        <a:ln>
          <a:solidFill>
            <a:schemeClr val="tx1"/>
          </a:solidFill>
        </a:ln>
      </c:spPr>
    </c:backWall>
    <c:plotArea>
      <c:layout>
        <c:manualLayout>
          <c:layoutTarget val="inner"/>
          <c:xMode val="edge"/>
          <c:yMode val="edge"/>
          <c:x val="5.4295858184377793E-2"/>
          <c:y val="0.38522190820177021"/>
          <c:w val="0.8944527636452102"/>
          <c:h val="0.34536168314838761"/>
        </c:manualLayout>
      </c:layout>
      <c:bar3DChart>
        <c:barDir val="bar"/>
        <c:grouping val="stacked"/>
        <c:varyColors val="0"/>
        <c:ser>
          <c:idx val="0"/>
          <c:order val="0"/>
          <c:spPr>
            <a:solidFill>
              <a:srgbClr val="FF0000"/>
            </a:solidFill>
          </c:spPr>
          <c:invertIfNegative val="1"/>
          <c:val>
            <c:numRef>
              <c:f>'2k'!$I$16</c:f>
              <c:numCache>
                <c:formatCode>General</c:formatCode>
                <c:ptCount val="1"/>
                <c:pt idx="0">
                  <c:v>-17</c:v>
                </c:pt>
              </c:numCache>
            </c:numRef>
          </c:val>
          <c:extLst>
            <c:ext xmlns:c14="http://schemas.microsoft.com/office/drawing/2007/8/2/chart" uri="{6F2FDCE9-48DA-4B69-8628-5D25D57E5C99}">
              <c14:invertSolidFillFmt>
                <c14:spPr xmlns:c14="http://schemas.microsoft.com/office/drawing/2007/8/2/chart">
                  <a:solidFill>
                    <a:srgbClr val="FFFFFF"/>
                  </a:solidFill>
                </c14:spPr>
              </c14:invertSolidFillFmt>
            </c:ext>
            <c:ext xmlns:c16="http://schemas.microsoft.com/office/drawing/2014/chart" uri="{C3380CC4-5D6E-409C-BE32-E72D297353CC}">
              <c16:uniqueId val="{00000000-2020-43E8-9390-DDD0B8461A52}"/>
            </c:ext>
          </c:extLst>
        </c:ser>
        <c:dLbls>
          <c:showLegendKey val="0"/>
          <c:showVal val="0"/>
          <c:showCatName val="0"/>
          <c:showSerName val="0"/>
          <c:showPercent val="0"/>
          <c:showBubbleSize val="0"/>
        </c:dLbls>
        <c:gapWidth val="78"/>
        <c:shape val="cylinder"/>
        <c:axId val="191289600"/>
        <c:axId val="191295488"/>
        <c:axId val="0"/>
      </c:bar3DChart>
      <c:catAx>
        <c:axId val="191289600"/>
        <c:scaling>
          <c:orientation val="minMax"/>
        </c:scaling>
        <c:delete val="0"/>
        <c:axPos val="l"/>
        <c:majorTickMark val="none"/>
        <c:minorTickMark val="none"/>
        <c:tickLblPos val="none"/>
        <c:spPr>
          <a:ln w="25400">
            <a:solidFill>
              <a:schemeClr val="tx1"/>
            </a:solidFill>
          </a:ln>
        </c:spPr>
        <c:crossAx val="191295488"/>
        <c:crossesAt val="0"/>
        <c:auto val="1"/>
        <c:lblAlgn val="ctr"/>
        <c:lblOffset val="100"/>
        <c:noMultiLvlLbl val="0"/>
      </c:catAx>
      <c:valAx>
        <c:axId val="191295488"/>
        <c:scaling>
          <c:orientation val="minMax"/>
          <c:max val="40"/>
          <c:min val="-20"/>
        </c:scaling>
        <c:delete val="1"/>
        <c:axPos val="b"/>
        <c:majorGridlines>
          <c:spPr>
            <a:ln>
              <a:solidFill>
                <a:schemeClr val="tx1"/>
              </a:solidFill>
            </a:ln>
          </c:spPr>
        </c:majorGridlines>
        <c:numFmt formatCode="General" sourceLinked="1"/>
        <c:majorTickMark val="out"/>
        <c:minorTickMark val="none"/>
        <c:tickLblPos val="nextTo"/>
        <c:crossAx val="191289600"/>
        <c:crosses val="autoZero"/>
        <c:crossBetween val="between"/>
        <c:majorUnit val="20"/>
        <c:minorUnit val="20"/>
      </c:valAx>
      <c:spPr>
        <a:noFill/>
        <a:ln w="25400">
          <a:noFill/>
        </a:ln>
      </c:spPr>
    </c:plotArea>
    <c:plotVisOnly val="1"/>
    <c:dispBlanksAs val="gap"/>
    <c:showDLblsOverMax val="0"/>
  </c:chart>
  <c:spPr>
    <a:noFill/>
    <a:ln>
      <a:noFill/>
    </a:ln>
  </c:sp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indent="0" algn="ctr" defTabSz="914400" rtl="0" eaLnBrk="1" fontAlgn="auto" latinLnBrk="0" hangingPunct="1">
              <a:lnSpc>
                <a:spcPct val="100000"/>
              </a:lnSpc>
              <a:spcBef>
                <a:spcPts val="0"/>
              </a:spcBef>
              <a:spcAft>
                <a:spcPts val="0"/>
              </a:spcAft>
              <a:buClrTx/>
              <a:buSzTx/>
              <a:buFontTx/>
              <a:buNone/>
              <a:tabLst/>
              <a:defRPr sz="1800" b="1" i="0" u="none" strike="noStrike" kern="1200" baseline="0">
                <a:solidFill>
                  <a:sysClr val="windowText" lastClr="000000"/>
                </a:solidFill>
                <a:latin typeface="+mn-lt"/>
                <a:ea typeface="+mn-ea"/>
                <a:cs typeface="+mn-cs"/>
              </a:defRPr>
            </a:pPr>
            <a:r>
              <a:rPr lang="en-GB" sz="1000" b="0" i="0" baseline="0">
                <a:effectLst/>
              </a:rPr>
              <a:t>Risk of cross-masking if masking is used</a:t>
            </a:r>
            <a:r>
              <a:rPr lang="en-GB" sz="800" b="0"/>
              <a:t> </a:t>
            </a:r>
          </a:p>
        </c:rich>
      </c:tx>
      <c:layout>
        <c:manualLayout>
          <c:xMode val="edge"/>
          <c:yMode val="edge"/>
          <c:x val="0.19060793871354315"/>
          <c:y val="0.30215561764456866"/>
        </c:manualLayout>
      </c:layout>
      <c:overlay val="1"/>
    </c:title>
    <c:autoTitleDeleted val="0"/>
    <c:view3D>
      <c:rotX val="0"/>
      <c:hPercent val="500"/>
      <c:rotY val="0"/>
      <c:depthPercent val="100"/>
      <c:rAngAx val="0"/>
      <c:perspective val="0"/>
    </c:view3D>
    <c:floor>
      <c:thickness val="0"/>
    </c:floor>
    <c:sideWall>
      <c:thickness val="0"/>
      <c:spPr>
        <a:gradFill flip="none" rotWithShape="1">
          <a:gsLst>
            <a:gs pos="70000">
              <a:srgbClr val="FF6000"/>
            </a:gs>
            <a:gs pos="55000">
              <a:srgbClr val="FFB000"/>
            </a:gs>
            <a:gs pos="36000">
              <a:srgbClr val="FFFF00"/>
            </a:gs>
            <a:gs pos="32000">
              <a:srgbClr val="92D050"/>
            </a:gs>
            <a:gs pos="0">
              <a:srgbClr val="92D050"/>
            </a:gs>
            <a:gs pos="100000">
              <a:srgbClr val="FF0000"/>
            </a:gs>
          </a:gsLst>
          <a:lin ang="0" scaled="0"/>
          <a:tileRect/>
        </a:gradFill>
        <a:ln>
          <a:solidFill>
            <a:schemeClr val="tx1"/>
          </a:solidFill>
        </a:ln>
      </c:spPr>
    </c:sideWall>
    <c:backWall>
      <c:thickness val="0"/>
      <c:spPr>
        <a:gradFill flip="none" rotWithShape="1">
          <a:gsLst>
            <a:gs pos="70000">
              <a:srgbClr val="FF6000"/>
            </a:gs>
            <a:gs pos="55000">
              <a:srgbClr val="FFB000"/>
            </a:gs>
            <a:gs pos="36000">
              <a:srgbClr val="FFFF00"/>
            </a:gs>
            <a:gs pos="32000">
              <a:srgbClr val="92D050"/>
            </a:gs>
            <a:gs pos="0">
              <a:srgbClr val="92D050"/>
            </a:gs>
            <a:gs pos="100000">
              <a:srgbClr val="FF0000"/>
            </a:gs>
          </a:gsLst>
          <a:lin ang="0" scaled="0"/>
          <a:tileRect/>
        </a:gradFill>
        <a:ln>
          <a:solidFill>
            <a:schemeClr val="tx1"/>
          </a:solidFill>
        </a:ln>
      </c:spPr>
    </c:backWall>
    <c:plotArea>
      <c:layout>
        <c:manualLayout>
          <c:layoutTarget val="inner"/>
          <c:xMode val="edge"/>
          <c:yMode val="edge"/>
          <c:x val="5.2773399736168361E-2"/>
          <c:y val="0.5406958473115816"/>
          <c:w val="0.8944527636452102"/>
          <c:h val="0.34536168314838761"/>
        </c:manualLayout>
      </c:layout>
      <c:bar3DChart>
        <c:barDir val="bar"/>
        <c:grouping val="stacked"/>
        <c:varyColors val="0"/>
        <c:ser>
          <c:idx val="0"/>
          <c:order val="0"/>
          <c:spPr>
            <a:solidFill>
              <a:srgbClr val="FF0000"/>
            </a:solidFill>
          </c:spPr>
          <c:invertIfNegative val="1"/>
          <c:val>
            <c:numRef>
              <c:f>'2k'!$J$16</c:f>
              <c:numCache>
                <c:formatCode>0</c:formatCode>
                <c:ptCount val="1"/>
                <c:pt idx="0">
                  <c:v>-69</c:v>
                </c:pt>
              </c:numCache>
            </c:numRef>
          </c:val>
          <c:extLst>
            <c:ext xmlns:c14="http://schemas.microsoft.com/office/drawing/2007/8/2/chart" uri="{6F2FDCE9-48DA-4B69-8628-5D25D57E5C99}">
              <c14:invertSolidFillFmt>
                <c14:spPr xmlns:c14="http://schemas.microsoft.com/office/drawing/2007/8/2/chart">
                  <a:solidFill>
                    <a:srgbClr val="FFFFFF"/>
                  </a:solidFill>
                </c14:spPr>
              </c14:invertSolidFillFmt>
            </c:ext>
            <c:ext xmlns:c16="http://schemas.microsoft.com/office/drawing/2014/chart" uri="{C3380CC4-5D6E-409C-BE32-E72D297353CC}">
              <c16:uniqueId val="{00000000-A151-4CEC-B9E5-AF89058FB251}"/>
            </c:ext>
          </c:extLst>
        </c:ser>
        <c:dLbls>
          <c:showLegendKey val="0"/>
          <c:showVal val="0"/>
          <c:showCatName val="0"/>
          <c:showSerName val="0"/>
          <c:showPercent val="0"/>
          <c:showBubbleSize val="0"/>
        </c:dLbls>
        <c:gapWidth val="78"/>
        <c:shape val="cylinder"/>
        <c:axId val="191343232"/>
        <c:axId val="191357312"/>
        <c:axId val="0"/>
      </c:bar3DChart>
      <c:catAx>
        <c:axId val="191343232"/>
        <c:scaling>
          <c:orientation val="minMax"/>
        </c:scaling>
        <c:delete val="0"/>
        <c:axPos val="l"/>
        <c:majorTickMark val="none"/>
        <c:minorTickMark val="none"/>
        <c:tickLblPos val="none"/>
        <c:spPr>
          <a:ln w="25400">
            <a:solidFill>
              <a:schemeClr val="tx1"/>
            </a:solidFill>
          </a:ln>
        </c:spPr>
        <c:crossAx val="191357312"/>
        <c:crossesAt val="0"/>
        <c:auto val="1"/>
        <c:lblAlgn val="ctr"/>
        <c:lblOffset val="100"/>
        <c:noMultiLvlLbl val="0"/>
      </c:catAx>
      <c:valAx>
        <c:axId val="191357312"/>
        <c:scaling>
          <c:orientation val="minMax"/>
          <c:max val="40"/>
          <c:min val="-20"/>
        </c:scaling>
        <c:delete val="1"/>
        <c:axPos val="b"/>
        <c:majorGridlines>
          <c:spPr>
            <a:ln>
              <a:solidFill>
                <a:schemeClr val="tx1"/>
              </a:solidFill>
            </a:ln>
          </c:spPr>
        </c:majorGridlines>
        <c:numFmt formatCode="0" sourceLinked="1"/>
        <c:majorTickMark val="out"/>
        <c:minorTickMark val="none"/>
        <c:tickLblPos val="nextTo"/>
        <c:crossAx val="191343232"/>
        <c:crosses val="autoZero"/>
        <c:crossBetween val="between"/>
        <c:majorUnit val="20"/>
        <c:minorUnit val="20"/>
      </c:valAx>
      <c:spPr>
        <a:noFill/>
        <a:ln w="25400">
          <a:noFill/>
        </a:ln>
      </c:spPr>
    </c:plotArea>
    <c:plotVisOnly val="1"/>
    <c:dispBlanksAs val="gap"/>
    <c:showDLblsOverMax val="0"/>
  </c:chart>
  <c:spPr>
    <a:noFill/>
    <a:ln>
      <a:noFill/>
    </a:ln>
  </c:sp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sz="1000" b="0"/>
              <a:t>Risk of cross-hearing without</a:t>
            </a:r>
            <a:r>
              <a:rPr lang="en-GB" sz="1000" b="0" baseline="0"/>
              <a:t> masking</a:t>
            </a:r>
            <a:endParaRPr lang="en-GB" sz="1000" b="0"/>
          </a:p>
        </c:rich>
      </c:tx>
      <c:layout>
        <c:manualLayout>
          <c:xMode val="edge"/>
          <c:yMode val="edge"/>
          <c:x val="0.11613166633740675"/>
          <c:y val="0.15676216004914278"/>
        </c:manualLayout>
      </c:layout>
      <c:overlay val="1"/>
    </c:title>
    <c:autoTitleDeleted val="0"/>
    <c:view3D>
      <c:rotX val="0"/>
      <c:hPercent val="500"/>
      <c:rotY val="0"/>
      <c:depthPercent val="100"/>
      <c:rAngAx val="0"/>
      <c:perspective val="0"/>
    </c:view3D>
    <c:floor>
      <c:thickness val="0"/>
    </c:floor>
    <c:sideWall>
      <c:thickness val="0"/>
      <c:spPr>
        <a:gradFill flip="none" rotWithShape="1">
          <a:gsLst>
            <a:gs pos="70000">
              <a:srgbClr val="FF6000"/>
            </a:gs>
            <a:gs pos="55000">
              <a:srgbClr val="FFB000"/>
            </a:gs>
            <a:gs pos="36000">
              <a:srgbClr val="FFFF00"/>
            </a:gs>
            <a:gs pos="32000">
              <a:srgbClr val="92D050"/>
            </a:gs>
            <a:gs pos="0">
              <a:srgbClr val="92D050"/>
            </a:gs>
            <a:gs pos="100000">
              <a:srgbClr val="FF0000"/>
            </a:gs>
          </a:gsLst>
          <a:lin ang="0" scaled="0"/>
          <a:tileRect/>
        </a:gradFill>
        <a:ln>
          <a:solidFill>
            <a:schemeClr val="tx1"/>
          </a:solidFill>
        </a:ln>
      </c:spPr>
    </c:sideWall>
    <c:backWall>
      <c:thickness val="0"/>
      <c:spPr>
        <a:gradFill flip="none" rotWithShape="1">
          <a:gsLst>
            <a:gs pos="70000">
              <a:srgbClr val="FF6000"/>
            </a:gs>
            <a:gs pos="55000">
              <a:srgbClr val="FFB000"/>
            </a:gs>
            <a:gs pos="36000">
              <a:srgbClr val="FFFF00"/>
            </a:gs>
            <a:gs pos="32000">
              <a:srgbClr val="92D050"/>
            </a:gs>
            <a:gs pos="0">
              <a:srgbClr val="92D050"/>
            </a:gs>
            <a:gs pos="100000">
              <a:srgbClr val="FF0000"/>
            </a:gs>
          </a:gsLst>
          <a:lin ang="0" scaled="0"/>
          <a:tileRect/>
        </a:gradFill>
        <a:ln>
          <a:solidFill>
            <a:schemeClr val="tx1"/>
          </a:solidFill>
        </a:ln>
      </c:spPr>
    </c:backWall>
    <c:plotArea>
      <c:layout>
        <c:manualLayout>
          <c:layoutTarget val="inner"/>
          <c:xMode val="edge"/>
          <c:yMode val="edge"/>
          <c:x val="5.4295858184377793E-2"/>
          <c:y val="0.38522190820177021"/>
          <c:w val="0.8944527636452102"/>
          <c:h val="0.34536168314838761"/>
        </c:manualLayout>
      </c:layout>
      <c:bar3DChart>
        <c:barDir val="bar"/>
        <c:grouping val="stacked"/>
        <c:varyColors val="0"/>
        <c:ser>
          <c:idx val="0"/>
          <c:order val="0"/>
          <c:spPr>
            <a:solidFill>
              <a:srgbClr val="FF0000"/>
            </a:solidFill>
          </c:spPr>
          <c:invertIfNegative val="1"/>
          <c:val>
            <c:numRef>
              <c:f>'1k'!$I$16</c:f>
              <c:numCache>
                <c:formatCode>General</c:formatCode>
                <c:ptCount val="1"/>
                <c:pt idx="0">
                  <c:v>-14</c:v>
                </c:pt>
              </c:numCache>
            </c:numRef>
          </c:val>
          <c:extLst>
            <c:ext xmlns:c14="http://schemas.microsoft.com/office/drawing/2007/8/2/chart" uri="{6F2FDCE9-48DA-4B69-8628-5D25D57E5C99}">
              <c14:invertSolidFillFmt>
                <c14:spPr xmlns:c14="http://schemas.microsoft.com/office/drawing/2007/8/2/chart">
                  <a:solidFill>
                    <a:srgbClr val="FFFFFF"/>
                  </a:solidFill>
                </c14:spPr>
              </c14:invertSolidFillFmt>
            </c:ext>
            <c:ext xmlns:c16="http://schemas.microsoft.com/office/drawing/2014/chart" uri="{C3380CC4-5D6E-409C-BE32-E72D297353CC}">
              <c16:uniqueId val="{00000000-82E4-4A57-9FB6-B7DCCA3A058B}"/>
            </c:ext>
          </c:extLst>
        </c:ser>
        <c:dLbls>
          <c:showLegendKey val="0"/>
          <c:showVal val="0"/>
          <c:showCatName val="0"/>
          <c:showSerName val="0"/>
          <c:showPercent val="0"/>
          <c:showBubbleSize val="0"/>
        </c:dLbls>
        <c:gapWidth val="78"/>
        <c:shape val="cylinder"/>
        <c:axId val="199206016"/>
        <c:axId val="199207552"/>
        <c:axId val="0"/>
      </c:bar3DChart>
      <c:catAx>
        <c:axId val="199206016"/>
        <c:scaling>
          <c:orientation val="minMax"/>
        </c:scaling>
        <c:delete val="0"/>
        <c:axPos val="l"/>
        <c:majorTickMark val="none"/>
        <c:minorTickMark val="none"/>
        <c:tickLblPos val="none"/>
        <c:spPr>
          <a:ln w="25400">
            <a:solidFill>
              <a:schemeClr val="tx1"/>
            </a:solidFill>
          </a:ln>
        </c:spPr>
        <c:crossAx val="199207552"/>
        <c:crossesAt val="0"/>
        <c:auto val="1"/>
        <c:lblAlgn val="ctr"/>
        <c:lblOffset val="100"/>
        <c:noMultiLvlLbl val="0"/>
      </c:catAx>
      <c:valAx>
        <c:axId val="199207552"/>
        <c:scaling>
          <c:orientation val="minMax"/>
          <c:max val="40"/>
          <c:min val="-20"/>
        </c:scaling>
        <c:delete val="1"/>
        <c:axPos val="b"/>
        <c:majorGridlines>
          <c:spPr>
            <a:ln>
              <a:solidFill>
                <a:schemeClr val="tx1"/>
              </a:solidFill>
            </a:ln>
          </c:spPr>
        </c:majorGridlines>
        <c:numFmt formatCode="General" sourceLinked="1"/>
        <c:majorTickMark val="out"/>
        <c:minorTickMark val="none"/>
        <c:tickLblPos val="nextTo"/>
        <c:crossAx val="199206016"/>
        <c:crosses val="autoZero"/>
        <c:crossBetween val="between"/>
        <c:majorUnit val="20"/>
        <c:minorUnit val="20"/>
      </c:valAx>
      <c:spPr>
        <a:noFill/>
        <a:ln w="25400">
          <a:noFill/>
        </a:ln>
      </c:spPr>
    </c:plotArea>
    <c:plotVisOnly val="1"/>
    <c:dispBlanksAs val="gap"/>
    <c:showDLblsOverMax val="0"/>
  </c:chart>
  <c:spPr>
    <a:noFill/>
    <a:ln>
      <a:noFill/>
    </a:ln>
  </c:sp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indent="0" algn="ctr" defTabSz="914400" rtl="0" eaLnBrk="1" fontAlgn="auto" latinLnBrk="0" hangingPunct="1">
              <a:lnSpc>
                <a:spcPct val="100000"/>
              </a:lnSpc>
              <a:spcBef>
                <a:spcPts val="0"/>
              </a:spcBef>
              <a:spcAft>
                <a:spcPts val="0"/>
              </a:spcAft>
              <a:buClrTx/>
              <a:buSzTx/>
              <a:buFontTx/>
              <a:buNone/>
              <a:tabLst/>
              <a:defRPr sz="1800" b="1" i="0" u="none" strike="noStrike" kern="1200" baseline="0">
                <a:solidFill>
                  <a:sysClr val="windowText" lastClr="000000"/>
                </a:solidFill>
                <a:latin typeface="+mn-lt"/>
                <a:ea typeface="+mn-ea"/>
                <a:cs typeface="+mn-cs"/>
              </a:defRPr>
            </a:pPr>
            <a:r>
              <a:rPr lang="en-GB" sz="1000" b="0" i="0" baseline="0">
                <a:effectLst/>
              </a:rPr>
              <a:t>Risk of cross-masking if masking is used</a:t>
            </a:r>
            <a:r>
              <a:rPr lang="en-GB" sz="800" b="0"/>
              <a:t> </a:t>
            </a:r>
          </a:p>
        </c:rich>
      </c:tx>
      <c:layout>
        <c:manualLayout>
          <c:xMode val="edge"/>
          <c:yMode val="edge"/>
          <c:x val="0.19060793871354315"/>
          <c:y val="0.30215561764456866"/>
        </c:manualLayout>
      </c:layout>
      <c:overlay val="1"/>
    </c:title>
    <c:autoTitleDeleted val="0"/>
    <c:view3D>
      <c:rotX val="0"/>
      <c:hPercent val="500"/>
      <c:rotY val="0"/>
      <c:depthPercent val="100"/>
      <c:rAngAx val="0"/>
      <c:perspective val="0"/>
    </c:view3D>
    <c:floor>
      <c:thickness val="0"/>
    </c:floor>
    <c:sideWall>
      <c:thickness val="0"/>
      <c:spPr>
        <a:gradFill flip="none" rotWithShape="1">
          <a:gsLst>
            <a:gs pos="70000">
              <a:srgbClr val="FF6000"/>
            </a:gs>
            <a:gs pos="55000">
              <a:srgbClr val="FFB000"/>
            </a:gs>
            <a:gs pos="36000">
              <a:srgbClr val="FFFF00"/>
            </a:gs>
            <a:gs pos="32000">
              <a:srgbClr val="92D050"/>
            </a:gs>
            <a:gs pos="0">
              <a:srgbClr val="92D050"/>
            </a:gs>
            <a:gs pos="100000">
              <a:srgbClr val="FF0000"/>
            </a:gs>
          </a:gsLst>
          <a:lin ang="0" scaled="0"/>
          <a:tileRect/>
        </a:gradFill>
        <a:ln>
          <a:solidFill>
            <a:schemeClr val="tx1"/>
          </a:solidFill>
        </a:ln>
      </c:spPr>
    </c:sideWall>
    <c:backWall>
      <c:thickness val="0"/>
      <c:spPr>
        <a:gradFill flip="none" rotWithShape="1">
          <a:gsLst>
            <a:gs pos="70000">
              <a:srgbClr val="FF6000"/>
            </a:gs>
            <a:gs pos="55000">
              <a:srgbClr val="FFB000"/>
            </a:gs>
            <a:gs pos="36000">
              <a:srgbClr val="FFFF00"/>
            </a:gs>
            <a:gs pos="32000">
              <a:srgbClr val="92D050"/>
            </a:gs>
            <a:gs pos="0">
              <a:srgbClr val="92D050"/>
            </a:gs>
            <a:gs pos="100000">
              <a:srgbClr val="FF0000"/>
            </a:gs>
          </a:gsLst>
          <a:lin ang="0" scaled="0"/>
          <a:tileRect/>
        </a:gradFill>
        <a:ln>
          <a:solidFill>
            <a:schemeClr val="tx1"/>
          </a:solidFill>
        </a:ln>
      </c:spPr>
    </c:backWall>
    <c:plotArea>
      <c:layout>
        <c:manualLayout>
          <c:layoutTarget val="inner"/>
          <c:xMode val="edge"/>
          <c:yMode val="edge"/>
          <c:x val="5.2773399736168361E-2"/>
          <c:y val="0.5406958473115816"/>
          <c:w val="0.8944527636452102"/>
          <c:h val="0.34536168314838761"/>
        </c:manualLayout>
      </c:layout>
      <c:bar3DChart>
        <c:barDir val="bar"/>
        <c:grouping val="stacked"/>
        <c:varyColors val="0"/>
        <c:ser>
          <c:idx val="0"/>
          <c:order val="0"/>
          <c:spPr>
            <a:solidFill>
              <a:srgbClr val="FF0000"/>
            </a:solidFill>
          </c:spPr>
          <c:invertIfNegative val="1"/>
          <c:val>
            <c:numRef>
              <c:f>'1k'!$J$16</c:f>
              <c:numCache>
                <c:formatCode>0</c:formatCode>
                <c:ptCount val="1"/>
                <c:pt idx="0">
                  <c:v>-57</c:v>
                </c:pt>
              </c:numCache>
            </c:numRef>
          </c:val>
          <c:extLst>
            <c:ext xmlns:c14="http://schemas.microsoft.com/office/drawing/2007/8/2/chart" uri="{6F2FDCE9-48DA-4B69-8628-5D25D57E5C99}">
              <c14:invertSolidFillFmt>
                <c14:spPr xmlns:c14="http://schemas.microsoft.com/office/drawing/2007/8/2/chart">
                  <a:solidFill>
                    <a:srgbClr val="FFFFFF"/>
                  </a:solidFill>
                </c14:spPr>
              </c14:invertSolidFillFmt>
            </c:ext>
            <c:ext xmlns:c16="http://schemas.microsoft.com/office/drawing/2014/chart" uri="{C3380CC4-5D6E-409C-BE32-E72D297353CC}">
              <c16:uniqueId val="{00000000-A367-48B4-9B60-CF8D13C0425C}"/>
            </c:ext>
          </c:extLst>
        </c:ser>
        <c:dLbls>
          <c:showLegendKey val="0"/>
          <c:showVal val="0"/>
          <c:showCatName val="0"/>
          <c:showSerName val="0"/>
          <c:showPercent val="0"/>
          <c:showBubbleSize val="0"/>
        </c:dLbls>
        <c:gapWidth val="78"/>
        <c:shape val="cylinder"/>
        <c:axId val="199256704"/>
        <c:axId val="199258496"/>
        <c:axId val="0"/>
      </c:bar3DChart>
      <c:catAx>
        <c:axId val="199256704"/>
        <c:scaling>
          <c:orientation val="minMax"/>
        </c:scaling>
        <c:delete val="0"/>
        <c:axPos val="l"/>
        <c:majorTickMark val="none"/>
        <c:minorTickMark val="none"/>
        <c:tickLblPos val="none"/>
        <c:spPr>
          <a:ln w="25400">
            <a:solidFill>
              <a:schemeClr val="tx1"/>
            </a:solidFill>
          </a:ln>
        </c:spPr>
        <c:crossAx val="199258496"/>
        <c:crossesAt val="0"/>
        <c:auto val="1"/>
        <c:lblAlgn val="ctr"/>
        <c:lblOffset val="100"/>
        <c:noMultiLvlLbl val="0"/>
      </c:catAx>
      <c:valAx>
        <c:axId val="199258496"/>
        <c:scaling>
          <c:orientation val="minMax"/>
          <c:max val="40"/>
          <c:min val="-20"/>
        </c:scaling>
        <c:delete val="1"/>
        <c:axPos val="b"/>
        <c:majorGridlines>
          <c:spPr>
            <a:ln>
              <a:solidFill>
                <a:schemeClr val="tx1"/>
              </a:solidFill>
            </a:ln>
          </c:spPr>
        </c:majorGridlines>
        <c:numFmt formatCode="0" sourceLinked="1"/>
        <c:majorTickMark val="out"/>
        <c:minorTickMark val="none"/>
        <c:tickLblPos val="nextTo"/>
        <c:crossAx val="199256704"/>
        <c:crosses val="autoZero"/>
        <c:crossBetween val="between"/>
        <c:majorUnit val="20"/>
        <c:minorUnit val="20"/>
      </c:valAx>
      <c:spPr>
        <a:noFill/>
        <a:ln w="25400">
          <a:noFill/>
        </a:ln>
      </c:spPr>
    </c:plotArea>
    <c:plotVisOnly val="1"/>
    <c:dispBlanksAs val="gap"/>
    <c:showDLblsOverMax val="0"/>
  </c:chart>
  <c:spPr>
    <a:noFill/>
    <a:ln>
      <a:noFill/>
    </a:ln>
  </c:sp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sz="1000" b="0"/>
              <a:t>Risk of cross-hearing without</a:t>
            </a:r>
            <a:r>
              <a:rPr lang="en-GB" sz="1000" b="0" baseline="0"/>
              <a:t> masking</a:t>
            </a:r>
            <a:endParaRPr lang="en-GB" sz="1000" b="0"/>
          </a:p>
        </c:rich>
      </c:tx>
      <c:layout>
        <c:manualLayout>
          <c:xMode val="edge"/>
          <c:yMode val="edge"/>
          <c:x val="0.11613166633740675"/>
          <c:y val="0.15676216004914278"/>
        </c:manualLayout>
      </c:layout>
      <c:overlay val="1"/>
    </c:title>
    <c:autoTitleDeleted val="0"/>
    <c:view3D>
      <c:rotX val="0"/>
      <c:hPercent val="500"/>
      <c:rotY val="0"/>
      <c:depthPercent val="100"/>
      <c:rAngAx val="0"/>
      <c:perspective val="0"/>
    </c:view3D>
    <c:floor>
      <c:thickness val="0"/>
    </c:floor>
    <c:sideWall>
      <c:thickness val="0"/>
      <c:spPr>
        <a:gradFill flip="none" rotWithShape="1">
          <a:gsLst>
            <a:gs pos="70000">
              <a:srgbClr val="FF6000"/>
            </a:gs>
            <a:gs pos="55000">
              <a:srgbClr val="FFB000"/>
            </a:gs>
            <a:gs pos="36000">
              <a:srgbClr val="FFFF00"/>
            </a:gs>
            <a:gs pos="32000">
              <a:srgbClr val="92D050"/>
            </a:gs>
            <a:gs pos="0">
              <a:srgbClr val="92D050"/>
            </a:gs>
            <a:gs pos="100000">
              <a:srgbClr val="FF0000"/>
            </a:gs>
          </a:gsLst>
          <a:lin ang="0" scaled="0"/>
          <a:tileRect/>
        </a:gradFill>
        <a:ln>
          <a:solidFill>
            <a:schemeClr val="tx1"/>
          </a:solidFill>
        </a:ln>
      </c:spPr>
    </c:sideWall>
    <c:backWall>
      <c:thickness val="0"/>
      <c:spPr>
        <a:gradFill flip="none" rotWithShape="1">
          <a:gsLst>
            <a:gs pos="70000">
              <a:srgbClr val="FF6000"/>
            </a:gs>
            <a:gs pos="55000">
              <a:srgbClr val="FFB000"/>
            </a:gs>
            <a:gs pos="36000">
              <a:srgbClr val="FFFF00"/>
            </a:gs>
            <a:gs pos="32000">
              <a:srgbClr val="92D050"/>
            </a:gs>
            <a:gs pos="0">
              <a:srgbClr val="92D050"/>
            </a:gs>
            <a:gs pos="100000">
              <a:srgbClr val="FF0000"/>
            </a:gs>
          </a:gsLst>
          <a:lin ang="0" scaled="0"/>
          <a:tileRect/>
        </a:gradFill>
        <a:ln>
          <a:solidFill>
            <a:schemeClr val="tx1"/>
          </a:solidFill>
        </a:ln>
      </c:spPr>
    </c:backWall>
    <c:plotArea>
      <c:layout>
        <c:manualLayout>
          <c:layoutTarget val="inner"/>
          <c:xMode val="edge"/>
          <c:yMode val="edge"/>
          <c:x val="5.4295858184377793E-2"/>
          <c:y val="0.38522190820177021"/>
          <c:w val="0.8944527636452102"/>
          <c:h val="0.34536168314838761"/>
        </c:manualLayout>
      </c:layout>
      <c:bar3DChart>
        <c:barDir val="bar"/>
        <c:grouping val="stacked"/>
        <c:varyColors val="0"/>
        <c:ser>
          <c:idx val="0"/>
          <c:order val="0"/>
          <c:spPr>
            <a:solidFill>
              <a:srgbClr val="FF0000"/>
            </a:solidFill>
          </c:spPr>
          <c:invertIfNegative val="1"/>
          <c:val>
            <c:numRef>
              <c:f>'500'!$I$16</c:f>
              <c:numCache>
                <c:formatCode>General</c:formatCode>
                <c:ptCount val="1"/>
                <c:pt idx="0">
                  <c:v>-88</c:v>
                </c:pt>
              </c:numCache>
            </c:numRef>
          </c:val>
          <c:extLst>
            <c:ext xmlns:c14="http://schemas.microsoft.com/office/drawing/2007/8/2/chart" uri="{6F2FDCE9-48DA-4B69-8628-5D25D57E5C99}">
              <c14:invertSolidFillFmt>
                <c14:spPr xmlns:c14="http://schemas.microsoft.com/office/drawing/2007/8/2/chart">
                  <a:solidFill>
                    <a:srgbClr val="FFFFFF"/>
                  </a:solidFill>
                </c14:spPr>
              </c14:invertSolidFillFmt>
            </c:ext>
            <c:ext xmlns:c16="http://schemas.microsoft.com/office/drawing/2014/chart" uri="{C3380CC4-5D6E-409C-BE32-E72D297353CC}">
              <c16:uniqueId val="{00000000-8561-47C1-9CC3-564487E98119}"/>
            </c:ext>
          </c:extLst>
        </c:ser>
        <c:dLbls>
          <c:showLegendKey val="0"/>
          <c:showVal val="0"/>
          <c:showCatName val="0"/>
          <c:showSerName val="0"/>
          <c:showPercent val="0"/>
          <c:showBubbleSize val="0"/>
        </c:dLbls>
        <c:gapWidth val="78"/>
        <c:shape val="cylinder"/>
        <c:axId val="199354240"/>
        <c:axId val="199355776"/>
        <c:axId val="0"/>
      </c:bar3DChart>
      <c:catAx>
        <c:axId val="199354240"/>
        <c:scaling>
          <c:orientation val="minMax"/>
        </c:scaling>
        <c:delete val="0"/>
        <c:axPos val="l"/>
        <c:majorTickMark val="none"/>
        <c:minorTickMark val="none"/>
        <c:tickLblPos val="none"/>
        <c:spPr>
          <a:ln w="25400">
            <a:solidFill>
              <a:schemeClr val="tx1"/>
            </a:solidFill>
          </a:ln>
        </c:spPr>
        <c:crossAx val="199355776"/>
        <c:crossesAt val="0"/>
        <c:auto val="1"/>
        <c:lblAlgn val="ctr"/>
        <c:lblOffset val="100"/>
        <c:noMultiLvlLbl val="0"/>
      </c:catAx>
      <c:valAx>
        <c:axId val="199355776"/>
        <c:scaling>
          <c:orientation val="minMax"/>
          <c:max val="40"/>
          <c:min val="-20"/>
        </c:scaling>
        <c:delete val="1"/>
        <c:axPos val="b"/>
        <c:majorGridlines>
          <c:spPr>
            <a:ln>
              <a:solidFill>
                <a:schemeClr val="tx1"/>
              </a:solidFill>
            </a:ln>
          </c:spPr>
        </c:majorGridlines>
        <c:numFmt formatCode="General" sourceLinked="1"/>
        <c:majorTickMark val="out"/>
        <c:minorTickMark val="none"/>
        <c:tickLblPos val="nextTo"/>
        <c:crossAx val="199354240"/>
        <c:crosses val="autoZero"/>
        <c:crossBetween val="between"/>
        <c:majorUnit val="20"/>
        <c:minorUnit val="20"/>
      </c:valAx>
      <c:spPr>
        <a:noFill/>
        <a:ln w="25400">
          <a:noFill/>
        </a:ln>
      </c:spPr>
    </c:plotArea>
    <c:plotVisOnly val="1"/>
    <c:dispBlanksAs val="gap"/>
    <c:showDLblsOverMax val="0"/>
  </c:chart>
  <c:spPr>
    <a:noFill/>
    <a:ln>
      <a:no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chart" Target="../charts/chart1.xml"/><Relationship Id="rId5" Type="http://schemas.openxmlformats.org/officeDocument/2006/relationships/image" Target="../media/image3.png"/><Relationship Id="rId4" Type="http://schemas.openxmlformats.org/officeDocument/2006/relationships/chart" Target="../charts/chart2.xml"/></Relationships>
</file>

<file path=xl/drawings/_rels/drawing2.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4.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_rels/drawing5.xml.rels><?xml version="1.0" encoding="UTF-8" standalone="yes"?>
<Relationships xmlns="http://schemas.openxmlformats.org/package/2006/relationships"><Relationship Id="rId2" Type="http://schemas.openxmlformats.org/officeDocument/2006/relationships/chart" Target="../charts/chart10.xml"/><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0</xdr:col>
      <xdr:colOff>923196</xdr:colOff>
      <xdr:row>18</xdr:row>
      <xdr:rowOff>161193</xdr:rowOff>
    </xdr:from>
    <xdr:to>
      <xdr:col>5</xdr:col>
      <xdr:colOff>470392</xdr:colOff>
      <xdr:row>30</xdr:row>
      <xdr:rowOff>14654</xdr:rowOff>
    </xdr:to>
    <xdr:grpSp>
      <xdr:nvGrpSpPr>
        <xdr:cNvPr id="11" name="Group 10">
          <a:extLst>
            <a:ext uri="{FF2B5EF4-FFF2-40B4-BE49-F238E27FC236}">
              <a16:creationId xmlns:a16="http://schemas.microsoft.com/office/drawing/2014/main" id="{00000000-0008-0000-0000-00000B000000}"/>
            </a:ext>
          </a:extLst>
        </xdr:cNvPr>
        <xdr:cNvGrpSpPr/>
      </xdr:nvGrpSpPr>
      <xdr:grpSpPr>
        <a:xfrm>
          <a:off x="923196" y="3399693"/>
          <a:ext cx="3357196" cy="886557"/>
          <a:chOff x="923196" y="3209193"/>
          <a:chExt cx="3357196" cy="886557"/>
        </a:xfrm>
      </xdr:grpSpPr>
      <xdr:grpSp>
        <xdr:nvGrpSpPr>
          <xdr:cNvPr id="5" name="Group 4">
            <a:extLst>
              <a:ext uri="{FF2B5EF4-FFF2-40B4-BE49-F238E27FC236}">
                <a16:creationId xmlns:a16="http://schemas.microsoft.com/office/drawing/2014/main" id="{00000000-0008-0000-0000-000005000000}"/>
              </a:ext>
            </a:extLst>
          </xdr:cNvPr>
          <xdr:cNvGrpSpPr/>
        </xdr:nvGrpSpPr>
        <xdr:grpSpPr>
          <a:xfrm>
            <a:off x="923196" y="3209193"/>
            <a:ext cx="3357196" cy="871903"/>
            <a:chOff x="512884" y="3055328"/>
            <a:chExt cx="3393831" cy="874835"/>
          </a:xfrm>
        </xdr:grpSpPr>
        <xdr:graphicFrame macro="">
          <xdr:nvGraphicFramePr>
            <xdr:cNvPr id="15" name="Chart 2">
              <a:extLst>
                <a:ext uri="{FF2B5EF4-FFF2-40B4-BE49-F238E27FC236}">
                  <a16:creationId xmlns:a16="http://schemas.microsoft.com/office/drawing/2014/main" id="{00000000-0008-0000-0000-00000F000000}"/>
                </a:ext>
              </a:extLst>
            </xdr:cNvPr>
            <xdr:cNvGraphicFramePr>
              <a:graphicFrameLocks/>
            </xdr:cNvGraphicFramePr>
          </xdr:nvGraphicFramePr>
          <xdr:xfrm>
            <a:off x="512884" y="3055328"/>
            <a:ext cx="3393831" cy="874835"/>
          </xdr:xfrm>
          <a:graphic>
            <a:graphicData uri="http://schemas.openxmlformats.org/drawingml/2006/chart">
              <c:chart xmlns:c="http://schemas.openxmlformats.org/drawingml/2006/chart" xmlns:r="http://schemas.openxmlformats.org/officeDocument/2006/relationships" r:id="rId1"/>
            </a:graphicData>
          </a:graphic>
        </xdr:graphicFrame>
        <xdr:pic>
          <xdr:nvPicPr>
            <xdr:cNvPr id="8" name="Picture 7">
              <a:extLst>
                <a:ext uri="{FF2B5EF4-FFF2-40B4-BE49-F238E27FC236}">
                  <a16:creationId xmlns:a16="http://schemas.microsoft.com/office/drawing/2014/main" id="{00000000-0008-0000-0000-000008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458060" y="3582866"/>
              <a:ext cx="1502019" cy="294415"/>
            </a:xfrm>
            <a:prstGeom prst="rect">
              <a:avLst/>
            </a:prstGeom>
          </xdr:spPr>
        </xdr:pic>
      </xdr:grpSp>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685194" y="3600951"/>
            <a:ext cx="1853710" cy="494799"/>
          </a:xfrm>
          <a:prstGeom prst="rect">
            <a:avLst/>
          </a:prstGeom>
        </xdr:spPr>
      </xdr:pic>
    </xdr:grpSp>
    <xdr:clientData/>
  </xdr:twoCellAnchor>
  <xdr:twoCellAnchor>
    <xdr:from>
      <xdr:col>4</xdr:col>
      <xdr:colOff>170718</xdr:colOff>
      <xdr:row>18</xdr:row>
      <xdr:rowOff>158261</xdr:rowOff>
    </xdr:from>
    <xdr:to>
      <xdr:col>10</xdr:col>
      <xdr:colOff>399318</xdr:colOff>
      <xdr:row>30</xdr:row>
      <xdr:rowOff>20514</xdr:rowOff>
    </xdr:to>
    <xdr:grpSp>
      <xdr:nvGrpSpPr>
        <xdr:cNvPr id="7" name="Group 6">
          <a:extLst>
            <a:ext uri="{FF2B5EF4-FFF2-40B4-BE49-F238E27FC236}">
              <a16:creationId xmlns:a16="http://schemas.microsoft.com/office/drawing/2014/main" id="{00000000-0008-0000-0000-000007000000}"/>
            </a:ext>
          </a:extLst>
        </xdr:cNvPr>
        <xdr:cNvGrpSpPr/>
      </xdr:nvGrpSpPr>
      <xdr:grpSpPr>
        <a:xfrm>
          <a:off x="3475160" y="3396761"/>
          <a:ext cx="3393831" cy="895349"/>
          <a:chOff x="3475160" y="3206261"/>
          <a:chExt cx="3393831" cy="895349"/>
        </a:xfrm>
      </xdr:grpSpPr>
      <xdr:grpSp>
        <xdr:nvGrpSpPr>
          <xdr:cNvPr id="14" name="Group 13">
            <a:extLst>
              <a:ext uri="{FF2B5EF4-FFF2-40B4-BE49-F238E27FC236}">
                <a16:creationId xmlns:a16="http://schemas.microsoft.com/office/drawing/2014/main" id="{00000000-0008-0000-0000-00000E000000}"/>
              </a:ext>
            </a:extLst>
          </xdr:cNvPr>
          <xdr:cNvGrpSpPr/>
        </xdr:nvGrpSpPr>
        <xdr:grpSpPr>
          <a:xfrm>
            <a:off x="3475160" y="3206261"/>
            <a:ext cx="3393831" cy="874835"/>
            <a:chOff x="3387236" y="3045069"/>
            <a:chExt cx="3393831" cy="874835"/>
          </a:xfrm>
        </xdr:grpSpPr>
        <xdr:graphicFrame macro="">
          <xdr:nvGraphicFramePr>
            <xdr:cNvPr id="1270" name="Chart 2">
              <a:extLst>
                <a:ext uri="{FF2B5EF4-FFF2-40B4-BE49-F238E27FC236}">
                  <a16:creationId xmlns:a16="http://schemas.microsoft.com/office/drawing/2014/main" id="{00000000-0008-0000-0000-0000F6040000}"/>
                </a:ext>
              </a:extLst>
            </xdr:cNvPr>
            <xdr:cNvGraphicFramePr>
              <a:graphicFrameLocks/>
            </xdr:cNvGraphicFramePr>
          </xdr:nvGraphicFramePr>
          <xdr:xfrm>
            <a:off x="3387236" y="3045069"/>
            <a:ext cx="3393831" cy="874835"/>
          </xdr:xfrm>
          <a:graphic>
            <a:graphicData uri="http://schemas.openxmlformats.org/drawingml/2006/chart">
              <c:chart xmlns:c="http://schemas.openxmlformats.org/drawingml/2006/chart" xmlns:r="http://schemas.openxmlformats.org/officeDocument/2006/relationships" r:id="rId4"/>
            </a:graphicData>
          </a:graphic>
        </xdr:graphicFrame>
        <xdr:pic>
          <xdr:nvPicPr>
            <xdr:cNvPr id="10" name="Picture 9">
              <a:extLst>
                <a:ext uri="{FF2B5EF4-FFF2-40B4-BE49-F238E27FC236}">
                  <a16:creationId xmlns:a16="http://schemas.microsoft.com/office/drawing/2014/main" id="{00000000-0008-0000-0000-00000A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4336068" y="3566754"/>
              <a:ext cx="1502019" cy="294415"/>
            </a:xfrm>
            <a:prstGeom prst="rect">
              <a:avLst/>
            </a:prstGeom>
          </xdr:spPr>
        </xdr:pic>
      </xdr:grpSp>
      <xdr:pic>
        <xdr:nvPicPr>
          <xdr:cNvPr id="9" name="Picture 8">
            <a:extLst>
              <a:ext uri="{FF2B5EF4-FFF2-40B4-BE49-F238E27FC236}">
                <a16:creationId xmlns:a16="http://schemas.microsoft.com/office/drawing/2014/main" id="{00000000-0008-0000-0000-000009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4248177" y="3606811"/>
            <a:ext cx="1853710" cy="494799"/>
          </a:xfrm>
          <a:prstGeom prst="rect">
            <a:avLst/>
          </a:prstGeom>
        </xdr:spPr>
      </xdr:pic>
    </xdr:grpSp>
    <xdr:clientData/>
  </xdr:twoCellAnchor>
  <xdr:twoCellAnchor editAs="oneCell">
    <xdr:from>
      <xdr:col>0</xdr:col>
      <xdr:colOff>197830</xdr:colOff>
      <xdr:row>0</xdr:row>
      <xdr:rowOff>14655</xdr:rowOff>
    </xdr:from>
    <xdr:to>
      <xdr:col>0</xdr:col>
      <xdr:colOff>886560</xdr:colOff>
      <xdr:row>0</xdr:row>
      <xdr:rowOff>297121</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197830" y="14655"/>
          <a:ext cx="688730" cy="28246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5</xdr:col>
      <xdr:colOff>161925</xdr:colOff>
      <xdr:row>20</xdr:row>
      <xdr:rowOff>9525</xdr:rowOff>
    </xdr:from>
    <xdr:to>
      <xdr:col>10</xdr:col>
      <xdr:colOff>152400</xdr:colOff>
      <xdr:row>25</xdr:row>
      <xdr:rowOff>95250</xdr:rowOff>
    </xdr:to>
    <xdr:graphicFrame macro="">
      <xdr:nvGraphicFramePr>
        <xdr:cNvPr id="2" name="Chart 1">
          <a:extLst>
            <a:ext uri="{FF2B5EF4-FFF2-40B4-BE49-F238E27FC236}">
              <a16:creationId xmlns:a16="http://schemas.microsoft.com/office/drawing/2014/main" id="{00000000-0008-0000-0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4</xdr:col>
      <xdr:colOff>295275</xdr:colOff>
      <xdr:row>25</xdr:row>
      <xdr:rowOff>70338</xdr:rowOff>
    </xdr:from>
    <xdr:to>
      <xdr:col>10</xdr:col>
      <xdr:colOff>523875</xdr:colOff>
      <xdr:row>30</xdr:row>
      <xdr:rowOff>145806</xdr:rowOff>
    </xdr:to>
    <xdr:graphicFrame macro="">
      <xdr:nvGraphicFramePr>
        <xdr:cNvPr id="3" name="Chart 2">
          <a:extLst>
            <a:ext uri="{FF2B5EF4-FFF2-40B4-BE49-F238E27FC236}">
              <a16:creationId xmlns:a16="http://schemas.microsoft.com/office/drawing/2014/main" id="{00000000-0008-0000-01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5</xdr:col>
      <xdr:colOff>161925</xdr:colOff>
      <xdr:row>20</xdr:row>
      <xdr:rowOff>9525</xdr:rowOff>
    </xdr:from>
    <xdr:to>
      <xdr:col>10</xdr:col>
      <xdr:colOff>152400</xdr:colOff>
      <xdr:row>25</xdr:row>
      <xdr:rowOff>95250</xdr:rowOff>
    </xdr:to>
    <xdr:graphicFrame macro="">
      <xdr:nvGraphicFramePr>
        <xdr:cNvPr id="2" name="Chart 1">
          <a:extLst>
            <a:ext uri="{FF2B5EF4-FFF2-40B4-BE49-F238E27FC236}">
              <a16:creationId xmlns:a16="http://schemas.microsoft.com/office/drawing/2014/main" id="{00000000-0008-0000-0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4</xdr:col>
      <xdr:colOff>295275</xdr:colOff>
      <xdr:row>25</xdr:row>
      <xdr:rowOff>70338</xdr:rowOff>
    </xdr:from>
    <xdr:to>
      <xdr:col>10</xdr:col>
      <xdr:colOff>523875</xdr:colOff>
      <xdr:row>30</xdr:row>
      <xdr:rowOff>145806</xdr:rowOff>
    </xdr:to>
    <xdr:graphicFrame macro="">
      <xdr:nvGraphicFramePr>
        <xdr:cNvPr id="3" name="Chart 2">
          <a:extLst>
            <a:ext uri="{FF2B5EF4-FFF2-40B4-BE49-F238E27FC236}">
              <a16:creationId xmlns:a16="http://schemas.microsoft.com/office/drawing/2014/main" id="{00000000-0008-0000-02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5</xdr:col>
      <xdr:colOff>161925</xdr:colOff>
      <xdr:row>20</xdr:row>
      <xdr:rowOff>9525</xdr:rowOff>
    </xdr:from>
    <xdr:to>
      <xdr:col>10</xdr:col>
      <xdr:colOff>152400</xdr:colOff>
      <xdr:row>25</xdr:row>
      <xdr:rowOff>95250</xdr:rowOff>
    </xdr:to>
    <xdr:graphicFrame macro="">
      <xdr:nvGraphicFramePr>
        <xdr:cNvPr id="2" name="Chart 1">
          <a:extLst>
            <a:ext uri="{FF2B5EF4-FFF2-40B4-BE49-F238E27FC236}">
              <a16:creationId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4</xdr:col>
      <xdr:colOff>295275</xdr:colOff>
      <xdr:row>25</xdr:row>
      <xdr:rowOff>70338</xdr:rowOff>
    </xdr:from>
    <xdr:to>
      <xdr:col>10</xdr:col>
      <xdr:colOff>523875</xdr:colOff>
      <xdr:row>30</xdr:row>
      <xdr:rowOff>145806</xdr:rowOff>
    </xdr:to>
    <xdr:graphicFrame macro="">
      <xdr:nvGraphicFramePr>
        <xdr:cNvPr id="3" name="Chart 2">
          <a:extLst>
            <a:ext uri="{FF2B5EF4-FFF2-40B4-BE49-F238E27FC236}">
              <a16:creationId xmlns:a16="http://schemas.microsoft.com/office/drawing/2014/main" id="{00000000-0008-0000-03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5</xdr:col>
      <xdr:colOff>161925</xdr:colOff>
      <xdr:row>20</xdr:row>
      <xdr:rowOff>9525</xdr:rowOff>
    </xdr:from>
    <xdr:to>
      <xdr:col>10</xdr:col>
      <xdr:colOff>152400</xdr:colOff>
      <xdr:row>25</xdr:row>
      <xdr:rowOff>95250</xdr:rowOff>
    </xdr:to>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4</xdr:col>
      <xdr:colOff>295275</xdr:colOff>
      <xdr:row>25</xdr:row>
      <xdr:rowOff>70338</xdr:rowOff>
    </xdr:from>
    <xdr:to>
      <xdr:col>10</xdr:col>
      <xdr:colOff>523875</xdr:colOff>
      <xdr:row>30</xdr:row>
      <xdr:rowOff>145806</xdr:rowOff>
    </xdr:to>
    <xdr:graphicFrame macro="">
      <xdr:nvGraphicFramePr>
        <xdr:cNvPr id="3" name="Chart 2">
          <a:extLst>
            <a:ext uri="{FF2B5EF4-FFF2-40B4-BE49-F238E27FC236}">
              <a16:creationId xmlns:a16="http://schemas.microsoft.com/office/drawing/2014/main" id="{00000000-0008-0000-04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eratraining.co.uk/" TargetMode="External"/><Relationship Id="rId1" Type="http://schemas.openxmlformats.org/officeDocument/2006/relationships/hyperlink" Target="mailto:admin@eratraining.co.uk"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43"/>
  <sheetViews>
    <sheetView showGridLines="0" showRowColHeaders="0" tabSelected="1" zoomScale="130" zoomScaleNormal="130" workbookViewId="0">
      <selection activeCell="C11" sqref="C11:D11"/>
    </sheetView>
  </sheetViews>
  <sheetFormatPr defaultRowHeight="12.75" x14ac:dyDescent="0.2"/>
  <cols>
    <col min="1" max="1" width="16.140625" customWidth="1"/>
    <col min="2" max="2" width="14.28515625" customWidth="1"/>
    <col min="3" max="4" width="9.5703125" customWidth="1"/>
    <col min="5" max="6" width="7.5703125" customWidth="1"/>
    <col min="7" max="7" width="7.7109375" customWidth="1"/>
    <col min="8" max="9" width="8.28515625" customWidth="1"/>
    <col min="10" max="10" width="8.140625" customWidth="1"/>
    <col min="11" max="11" width="12.7109375" bestFit="1" customWidth="1"/>
    <col min="13" max="13" width="10" customWidth="1"/>
  </cols>
  <sheetData>
    <row r="1" spans="1:16" ht="24" thickBot="1" x14ac:dyDescent="0.35">
      <c r="A1" s="94"/>
      <c r="B1" s="97" t="s">
        <v>117</v>
      </c>
      <c r="C1" s="95"/>
      <c r="D1" s="96"/>
      <c r="E1" s="95"/>
      <c r="F1" s="95"/>
      <c r="G1" s="95"/>
      <c r="H1" s="162" t="s">
        <v>139</v>
      </c>
      <c r="I1" s="162"/>
      <c r="J1" s="98" t="s">
        <v>164</v>
      </c>
      <c r="L1" s="57"/>
    </row>
    <row r="2" spans="1:16" ht="12.75" customHeight="1" x14ac:dyDescent="0.2">
      <c r="A2" s="15" t="s">
        <v>5</v>
      </c>
      <c r="K2" s="58"/>
      <c r="L2" s="58"/>
    </row>
    <row r="3" spans="1:16" ht="12.75" customHeight="1" x14ac:dyDescent="0.2">
      <c r="A3" s="60" t="s">
        <v>106</v>
      </c>
      <c r="K3" s="51">
        <f>MAX('4k'!K2, '2k'!K2, '1k'!K2, '500'!K2)</f>
        <v>0</v>
      </c>
      <c r="L3" s="51">
        <f>MAX('4k'!H9, '2k'!H9, '1k'!H9, '500'!H9)</f>
        <v>0</v>
      </c>
      <c r="P3" s="18"/>
    </row>
    <row r="4" spans="1:16" ht="12.75" customHeight="1" x14ac:dyDescent="0.2">
      <c r="A4" s="151" t="s">
        <v>162</v>
      </c>
      <c r="P4" s="18"/>
    </row>
    <row r="5" spans="1:16" ht="12.75" customHeight="1" x14ac:dyDescent="0.2">
      <c r="A5" s="58" t="s">
        <v>111</v>
      </c>
      <c r="L5" s="55"/>
      <c r="P5" s="18"/>
    </row>
    <row r="6" spans="1:16" ht="12.75" customHeight="1" x14ac:dyDescent="0.2">
      <c r="A6" s="58" t="s">
        <v>97</v>
      </c>
      <c r="K6" s="50" t="s">
        <v>75</v>
      </c>
      <c r="L6" s="50" t="s">
        <v>74</v>
      </c>
      <c r="M6" s="51" t="str">
        <f>VLOOKUP(E12,K7:L16,2,FALSE)</f>
        <v>1k</v>
      </c>
      <c r="P6" s="18" t="s">
        <v>26</v>
      </c>
    </row>
    <row r="7" spans="1:16" s="156" customFormat="1" ht="27.75" customHeight="1" x14ac:dyDescent="0.2">
      <c r="A7" s="155" t="s">
        <v>114</v>
      </c>
      <c r="K7" s="157" t="s">
        <v>1</v>
      </c>
      <c r="L7" s="157" t="s">
        <v>73</v>
      </c>
      <c r="M7" s="158"/>
      <c r="P7" s="159" t="s">
        <v>27</v>
      </c>
    </row>
    <row r="8" spans="1:16" ht="12.75" customHeight="1" x14ac:dyDescent="0.2">
      <c r="A8" s="113"/>
      <c r="B8" s="114" t="s">
        <v>141</v>
      </c>
      <c r="C8" s="179" t="s">
        <v>36</v>
      </c>
      <c r="D8" s="180"/>
      <c r="F8" s="142" t="s">
        <v>115</v>
      </c>
      <c r="G8" s="122" t="s">
        <v>132</v>
      </c>
      <c r="H8" s="117"/>
      <c r="I8" s="117"/>
      <c r="J8" s="118"/>
      <c r="K8" s="50" t="s">
        <v>126</v>
      </c>
      <c r="L8" s="50" t="s">
        <v>70</v>
      </c>
      <c r="M8" s="51" t="s">
        <v>112</v>
      </c>
      <c r="P8" s="18" t="s">
        <v>28</v>
      </c>
    </row>
    <row r="9" spans="1:16" ht="12.75" customHeight="1" x14ac:dyDescent="0.2">
      <c r="A9" s="183" t="s">
        <v>99</v>
      </c>
      <c r="B9" s="184"/>
      <c r="C9" s="179" t="s">
        <v>158</v>
      </c>
      <c r="D9" s="180"/>
      <c r="E9" s="1"/>
      <c r="F9" s="141" t="s">
        <v>116</v>
      </c>
      <c r="G9" s="115">
        <f>IF(C10&gt;"BC",VLOOKUP(E12,Data!AD3:AF12,(IF(C10="Phones",2,3)),FALSE),"")</f>
        <v>100</v>
      </c>
      <c r="H9" s="115" t="str">
        <f>IF(L3&gt;0,"HIGH","moderate")</f>
        <v>moderate</v>
      </c>
      <c r="I9" s="116"/>
      <c r="J9" s="119"/>
      <c r="K9" s="50" t="s">
        <v>127</v>
      </c>
      <c r="L9" s="50" t="s">
        <v>71</v>
      </c>
      <c r="M9" s="51" t="s">
        <v>131</v>
      </c>
      <c r="P9" s="18" t="s">
        <v>29</v>
      </c>
    </row>
    <row r="10" spans="1:16" ht="12.75" customHeight="1" x14ac:dyDescent="0.2">
      <c r="A10" s="175" t="s">
        <v>90</v>
      </c>
      <c r="B10" s="176"/>
      <c r="C10" s="250" t="s">
        <v>138</v>
      </c>
      <c r="D10" s="172"/>
      <c r="E10" s="1"/>
      <c r="F10" s="99"/>
      <c r="G10" s="181" t="str">
        <f>CONCATENATE("Warning! There is a ",H9," risk of cross-masking")</f>
        <v>Warning! There is a moderate risk of cross-masking</v>
      </c>
      <c r="H10" s="181"/>
      <c r="I10" s="181"/>
      <c r="J10" s="182"/>
      <c r="K10" s="50" t="s">
        <v>128</v>
      </c>
      <c r="L10" s="50" t="s">
        <v>72</v>
      </c>
      <c r="M10" s="51"/>
      <c r="P10" s="18" t="s">
        <v>30</v>
      </c>
    </row>
    <row r="11" spans="1:16" ht="12.75" customHeight="1" x14ac:dyDescent="0.2">
      <c r="A11" s="175" t="s">
        <v>89</v>
      </c>
      <c r="B11" s="176"/>
      <c r="C11" s="171" t="s">
        <v>138</v>
      </c>
      <c r="D11" s="172"/>
      <c r="E11" s="1"/>
      <c r="F11" s="100"/>
      <c r="G11" s="181"/>
      <c r="H11" s="181"/>
      <c r="I11" s="181"/>
      <c r="J11" s="182"/>
      <c r="K11" s="50" t="s">
        <v>129</v>
      </c>
      <c r="L11" s="50">
        <v>500</v>
      </c>
      <c r="M11" s="51"/>
      <c r="P11" s="18" t="s">
        <v>31</v>
      </c>
    </row>
    <row r="12" spans="1:16" ht="12.75" customHeight="1" x14ac:dyDescent="0.2">
      <c r="A12" s="175" t="s">
        <v>107</v>
      </c>
      <c r="B12" s="176"/>
      <c r="C12" s="190" t="s">
        <v>131</v>
      </c>
      <c r="D12" s="191"/>
      <c r="E12" s="93" t="s">
        <v>128</v>
      </c>
      <c r="F12" s="100"/>
      <c r="G12" s="185" t="s">
        <v>92</v>
      </c>
      <c r="H12" s="185"/>
      <c r="I12" s="185"/>
      <c r="J12" s="186"/>
      <c r="K12" s="50" t="s">
        <v>78</v>
      </c>
      <c r="L12" s="50" t="s">
        <v>76</v>
      </c>
      <c r="M12" s="51"/>
      <c r="P12" s="44" t="s">
        <v>69</v>
      </c>
    </row>
    <row r="13" spans="1:16" ht="12.75" customHeight="1" x14ac:dyDescent="0.25">
      <c r="A13" s="165" t="s">
        <v>87</v>
      </c>
      <c r="B13" s="166"/>
      <c r="C13" s="169" t="s">
        <v>29</v>
      </c>
      <c r="D13" s="170"/>
      <c r="E13" s="1"/>
      <c r="F13" s="101"/>
      <c r="G13" s="185" t="s">
        <v>161</v>
      </c>
      <c r="H13" s="185"/>
      <c r="I13" s="185"/>
      <c r="J13" s="186"/>
      <c r="K13" s="50" t="s">
        <v>79</v>
      </c>
      <c r="L13" s="50" t="s">
        <v>70</v>
      </c>
      <c r="M13" s="51"/>
      <c r="P13" s="44" t="s">
        <v>94</v>
      </c>
    </row>
    <row r="14" spans="1:16" ht="12.75" customHeight="1" x14ac:dyDescent="0.25">
      <c r="A14" s="165" t="s">
        <v>86</v>
      </c>
      <c r="B14" s="166"/>
      <c r="C14" s="169">
        <v>0</v>
      </c>
      <c r="D14" s="170"/>
      <c r="E14" s="28">
        <f>IF(C10&gt;"BC",C14,0)</f>
        <v>0</v>
      </c>
      <c r="F14" s="101"/>
      <c r="G14" s="185"/>
      <c r="H14" s="185"/>
      <c r="I14" s="185"/>
      <c r="J14" s="186"/>
      <c r="K14" s="50" t="s">
        <v>80</v>
      </c>
      <c r="L14" s="50" t="s">
        <v>71</v>
      </c>
      <c r="M14" s="51"/>
      <c r="P14" s="44" t="s">
        <v>68</v>
      </c>
    </row>
    <row r="15" spans="1:16" ht="12.75" customHeight="1" x14ac:dyDescent="0.2">
      <c r="A15" s="175" t="s">
        <v>85</v>
      </c>
      <c r="B15" s="176"/>
      <c r="C15" s="171">
        <v>0</v>
      </c>
      <c r="D15" s="172"/>
      <c r="E15" s="1"/>
      <c r="F15" s="139"/>
      <c r="G15" s="187"/>
      <c r="H15" s="187"/>
      <c r="I15" s="188"/>
      <c r="J15" s="189"/>
      <c r="K15" s="50" t="s">
        <v>81</v>
      </c>
      <c r="L15" s="50" t="s">
        <v>72</v>
      </c>
      <c r="M15" s="51"/>
      <c r="P15" s="18"/>
    </row>
    <row r="16" spans="1:16" ht="12.75" customHeight="1" x14ac:dyDescent="0.2">
      <c r="A16" s="165" t="s">
        <v>142</v>
      </c>
      <c r="B16" s="166"/>
      <c r="C16" s="169">
        <v>0</v>
      </c>
      <c r="D16" s="170"/>
      <c r="E16" s="121"/>
      <c r="F16" s="140"/>
      <c r="G16" s="108"/>
      <c r="H16" s="108"/>
      <c r="I16" s="109">
        <f>MAX('4k'!I16, '2k'!I16, '1k'!I16, '500'!I16)</f>
        <v>-14</v>
      </c>
      <c r="J16" s="110">
        <f>MAX('4k'!J16, '2k'!J16, '1k'!JA7, '500'!J16)</f>
        <v>-45</v>
      </c>
      <c r="K16" s="50" t="s">
        <v>82</v>
      </c>
      <c r="L16" s="50">
        <v>500</v>
      </c>
      <c r="M16" s="51"/>
      <c r="P16" s="18"/>
    </row>
    <row r="17" spans="1:16" ht="12.75" customHeight="1" x14ac:dyDescent="0.2">
      <c r="A17" s="173" t="s">
        <v>105</v>
      </c>
      <c r="B17" s="174"/>
      <c r="C17" s="171">
        <v>80</v>
      </c>
      <c r="D17" s="172"/>
      <c r="E17" s="91" t="s">
        <v>103</v>
      </c>
      <c r="F17" s="59" t="s">
        <v>102</v>
      </c>
      <c r="G17" s="59" t="s">
        <v>101</v>
      </c>
      <c r="H17" s="91" t="s">
        <v>100</v>
      </c>
      <c r="I17" s="177" t="str">
        <f>IF(I18&gt;0,"Masking Needed","No need to mask")</f>
        <v>No need to mask</v>
      </c>
      <c r="J17" s="178"/>
    </row>
    <row r="18" spans="1:16" ht="12.75" customHeight="1" thickBot="1" x14ac:dyDescent="0.25">
      <c r="A18" s="167" t="s">
        <v>104</v>
      </c>
      <c r="B18" s="168"/>
      <c r="C18" s="168"/>
      <c r="D18" s="168"/>
      <c r="E18" s="92">
        <v>50</v>
      </c>
      <c r="F18" s="61">
        <v>50</v>
      </c>
      <c r="G18" s="61">
        <v>50</v>
      </c>
      <c r="H18" s="92">
        <v>50</v>
      </c>
      <c r="I18" s="144">
        <f>SUM('4k'!I18+'2k'!I18+'1k'!I18+'500'!I18)</f>
        <v>0</v>
      </c>
      <c r="J18" s="145"/>
      <c r="P18" s="120" t="s">
        <v>123</v>
      </c>
    </row>
    <row r="19" spans="1:16" ht="15" customHeight="1" x14ac:dyDescent="0.2">
      <c r="A19" s="102" t="s">
        <v>2</v>
      </c>
      <c r="B19" s="103" t="s">
        <v>8</v>
      </c>
      <c r="C19" s="104" t="s">
        <v>9</v>
      </c>
      <c r="D19" s="104" t="s">
        <v>52</v>
      </c>
      <c r="E19" s="104" t="s">
        <v>39</v>
      </c>
      <c r="F19" s="104" t="s">
        <v>55</v>
      </c>
      <c r="G19" s="104" t="s">
        <v>6</v>
      </c>
      <c r="H19" s="104" t="s">
        <v>4</v>
      </c>
      <c r="I19" s="163" t="s">
        <v>113</v>
      </c>
      <c r="J19" s="164"/>
      <c r="P19" s="120" t="s">
        <v>36</v>
      </c>
    </row>
    <row r="20" spans="1:16" ht="15.75" customHeight="1" thickBot="1" x14ac:dyDescent="0.35">
      <c r="A20" s="105" t="s">
        <v>118</v>
      </c>
      <c r="B20" s="106">
        <f>C17</f>
        <v>80</v>
      </c>
      <c r="C20" s="106">
        <f>IF(C10="BC",B26,(IF(C10="Insert",B24,0)))</f>
        <v>5</v>
      </c>
      <c r="D20" s="106">
        <f>D24</f>
        <v>27</v>
      </c>
      <c r="E20" s="106">
        <f>+C15</f>
        <v>0</v>
      </c>
      <c r="F20" s="106">
        <f>(D26+D28)</f>
        <v>46</v>
      </c>
      <c r="G20" s="107">
        <f>IF(C11="Insert",B24,0)</f>
        <v>5</v>
      </c>
      <c r="H20" s="106">
        <f>B25</f>
        <v>-9</v>
      </c>
      <c r="I20" s="146" t="str">
        <f>IF(I18&gt;0,(MAX('4k'!I20,'2k'!I20,'1k'!I20,'500'!I20)),"")</f>
        <v/>
      </c>
      <c r="J20" s="147" t="str">
        <f>IF(I18&gt;0, "dB SPL","Off")</f>
        <v>Off</v>
      </c>
      <c r="P20" s="120" t="s">
        <v>124</v>
      </c>
    </row>
    <row r="21" spans="1:16" x14ac:dyDescent="0.2">
      <c r="P21" s="120" t="s">
        <v>14</v>
      </c>
    </row>
    <row r="22" spans="1:16" x14ac:dyDescent="0.2">
      <c r="A22" s="85" t="s">
        <v>98</v>
      </c>
      <c r="B22" s="51"/>
      <c r="C22" s="85"/>
      <c r="D22" s="85"/>
      <c r="E22" s="30"/>
      <c r="F22" s="26"/>
      <c r="G22" s="26"/>
      <c r="H22" s="26"/>
      <c r="I22" s="36"/>
      <c r="J22" s="36"/>
      <c r="P22" s="120" t="s">
        <v>125</v>
      </c>
    </row>
    <row r="23" spans="1:16" x14ac:dyDescent="0.2">
      <c r="A23" s="85"/>
      <c r="B23" s="51"/>
      <c r="C23" s="86" t="s">
        <v>108</v>
      </c>
      <c r="D23" s="87">
        <f>VLOOKUP(E12,Data!E3:G12,3,FALSE)</f>
        <v>12</v>
      </c>
      <c r="E23" s="56" t="e">
        <f>I20+B25+G20</f>
        <v>#VALUE!</v>
      </c>
      <c r="F23" s="26"/>
      <c r="G23" s="26"/>
      <c r="H23" s="26"/>
      <c r="I23" s="36"/>
      <c r="J23" s="36"/>
      <c r="L23" s="55"/>
      <c r="P23" s="120" t="s">
        <v>37</v>
      </c>
    </row>
    <row r="24" spans="1:16" x14ac:dyDescent="0.2">
      <c r="A24" s="86" t="s">
        <v>7</v>
      </c>
      <c r="B24" s="88">
        <f>VLOOKUP(C13,Data!R3:W12,(IF(M6="Wband",2,(IF(M6="4k",3,(IF(M6="2k",4,(IF(M6="1k",5,6)))))))),FALSE)</f>
        <v>5</v>
      </c>
      <c r="C24" s="86" t="s">
        <v>109</v>
      </c>
      <c r="D24" s="87">
        <f>VLOOKUP(E12,Data!E3:G12,2,FALSE)</f>
        <v>27</v>
      </c>
      <c r="E24" s="26"/>
      <c r="F24" s="26"/>
      <c r="G24" s="26"/>
      <c r="H24" s="26"/>
      <c r="I24" s="36"/>
      <c r="J24" s="36"/>
      <c r="P24" s="59" t="s">
        <v>48</v>
      </c>
    </row>
    <row r="25" spans="1:16" hidden="1" x14ac:dyDescent="0.2">
      <c r="A25" s="86" t="s">
        <v>0</v>
      </c>
      <c r="B25" s="87">
        <f>VLOOKUP(C8,Data!A3:D10,(IF(C11="Phones",2,3)),FALSE)</f>
        <v>-9</v>
      </c>
      <c r="C25" s="86" t="s">
        <v>38</v>
      </c>
      <c r="D25" s="87">
        <f>C15</f>
        <v>0</v>
      </c>
      <c r="E25" s="26"/>
      <c r="F25" s="26"/>
      <c r="G25" s="26"/>
      <c r="H25" s="26"/>
      <c r="I25" s="36"/>
      <c r="J25" s="36"/>
    </row>
    <row r="26" spans="1:16" hidden="1" x14ac:dyDescent="0.2">
      <c r="A26" s="86" t="s">
        <v>40</v>
      </c>
      <c r="B26" s="88">
        <f>VLOOKUP(C13,Data!X3:AC12,(IF(M6="Wband",2,(IF(M6="4k",3,(IF(M6="2k",4,(IF(M6="1k",5,6)))))))),FALSE)</f>
        <v>20</v>
      </c>
      <c r="C26" s="86" t="s">
        <v>56</v>
      </c>
      <c r="D26" s="87">
        <f>VLOOKUP(E12,Data!H3:K12,(IF(C10="Phones",2,(IF(C10="Insert",3,4)))),FALSE)</f>
        <v>46</v>
      </c>
      <c r="E26" s="31"/>
      <c r="F26" s="26"/>
      <c r="G26" s="26"/>
      <c r="H26" s="26"/>
      <c r="I26" s="36"/>
      <c r="J26" s="36"/>
    </row>
    <row r="27" spans="1:16" hidden="1" x14ac:dyDescent="0.2">
      <c r="A27" s="86" t="s">
        <v>42</v>
      </c>
      <c r="B27" s="87">
        <f>C17+C20-(VLOOKUP(E12,Data!AG3:AH12,2,FALSE))</f>
        <v>60</v>
      </c>
      <c r="C27" s="86" t="s">
        <v>57</v>
      </c>
      <c r="D27" s="87">
        <f>VLOOKUP(E12,Data!H3:K12,(IF(C11="Phones",2,3)),FALSE)</f>
        <v>46</v>
      </c>
      <c r="E27" s="26"/>
      <c r="F27" s="26"/>
      <c r="G27" s="26"/>
      <c r="H27" s="26"/>
      <c r="I27" s="34"/>
    </row>
    <row r="28" spans="1:16" hidden="1" x14ac:dyDescent="0.2">
      <c r="A28" s="86" t="s">
        <v>41</v>
      </c>
      <c r="B28" s="87">
        <f>B27-F20</f>
        <v>14</v>
      </c>
      <c r="C28" s="86" t="s">
        <v>58</v>
      </c>
      <c r="D28" s="87">
        <f>VLOOKUP(C13,Data!L3:Q12,(IF(E12="Click",2,(IF(E12="4k tone",3,(IF(E12="2k tone",4,(IF(E12="1k tone",5,6)))))))),FALSE)</f>
        <v>0</v>
      </c>
      <c r="E28" s="26"/>
      <c r="F28" s="26"/>
      <c r="G28" s="26"/>
      <c r="H28" s="26"/>
    </row>
    <row r="29" spans="1:16" hidden="1" x14ac:dyDescent="0.2">
      <c r="A29" s="86"/>
      <c r="B29" s="89"/>
      <c r="C29" s="86" t="s">
        <v>45</v>
      </c>
      <c r="D29" s="88" t="e">
        <f>(I20+B25+G20-D27-D28)</f>
        <v>#VALUE!</v>
      </c>
      <c r="E29" s="26"/>
      <c r="F29" s="26"/>
      <c r="G29" s="26"/>
      <c r="H29" s="26"/>
    </row>
    <row r="30" spans="1:16" hidden="1" x14ac:dyDescent="0.2">
      <c r="B30" s="89"/>
      <c r="C30" s="86"/>
      <c r="D30" s="88"/>
      <c r="E30" s="26"/>
      <c r="F30" s="26"/>
      <c r="G30" s="26"/>
      <c r="H30" s="26"/>
    </row>
    <row r="31" spans="1:16" x14ac:dyDescent="0.2">
      <c r="B31" s="26"/>
      <c r="C31" s="19"/>
      <c r="D31" s="19"/>
      <c r="E31" s="26"/>
      <c r="F31" s="26"/>
      <c r="G31" s="26"/>
      <c r="H31" s="26"/>
    </row>
    <row r="32" spans="1:16" x14ac:dyDescent="0.2">
      <c r="A32" s="48" t="s">
        <v>145</v>
      </c>
      <c r="B32" s="19"/>
      <c r="C32" s="19"/>
      <c r="D32" s="19"/>
      <c r="E32" s="161" t="s">
        <v>146</v>
      </c>
      <c r="F32" s="19"/>
      <c r="G32" s="19"/>
      <c r="H32" s="19"/>
      <c r="I32" s="160"/>
      <c r="J32" s="160"/>
      <c r="K32" s="160"/>
      <c r="L32" s="160"/>
    </row>
    <row r="33" spans="1:12" x14ac:dyDescent="0.2">
      <c r="A33" s="48" t="s">
        <v>160</v>
      </c>
      <c r="B33" s="161"/>
      <c r="C33" s="19"/>
      <c r="D33" s="19"/>
      <c r="E33" s="161"/>
      <c r="F33" s="19"/>
      <c r="G33" s="161" t="s">
        <v>159</v>
      </c>
      <c r="H33" s="19"/>
      <c r="I33" s="160"/>
      <c r="J33" s="160"/>
      <c r="L33" s="160"/>
    </row>
    <row r="34" spans="1:12" x14ac:dyDescent="0.2">
      <c r="A34" s="48" t="s">
        <v>65</v>
      </c>
      <c r="B34" s="19"/>
      <c r="C34" s="19"/>
      <c r="D34" s="19"/>
      <c r="E34" s="19"/>
      <c r="F34" s="19"/>
      <c r="G34" s="19"/>
      <c r="H34" s="19"/>
      <c r="I34" s="160"/>
      <c r="J34" s="160"/>
      <c r="K34" s="160"/>
      <c r="L34" s="160"/>
    </row>
    <row r="35" spans="1:12" x14ac:dyDescent="0.2">
      <c r="A35" s="35" t="s">
        <v>136</v>
      </c>
      <c r="B35" s="26"/>
      <c r="C35" s="19"/>
      <c r="D35" s="19"/>
      <c r="E35" s="26"/>
      <c r="F35" s="26"/>
      <c r="G35" s="26"/>
      <c r="H35" s="26"/>
    </row>
    <row r="36" spans="1:12" x14ac:dyDescent="0.2">
      <c r="A36" s="32" t="s">
        <v>143</v>
      </c>
      <c r="B36" s="26"/>
      <c r="C36" s="19"/>
      <c r="D36" s="19"/>
      <c r="E36" s="26"/>
      <c r="F36" s="26"/>
      <c r="G36" s="26"/>
      <c r="H36" s="26"/>
    </row>
    <row r="37" spans="1:12" x14ac:dyDescent="0.2">
      <c r="A37" s="32" t="s">
        <v>154</v>
      </c>
      <c r="B37" s="26"/>
      <c r="C37" s="19"/>
      <c r="D37" s="19"/>
      <c r="E37" s="26"/>
      <c r="F37" s="26"/>
      <c r="G37" s="26"/>
      <c r="H37" s="26"/>
    </row>
    <row r="38" spans="1:12" x14ac:dyDescent="0.2">
      <c r="A38" s="32" t="s">
        <v>163</v>
      </c>
      <c r="B38" s="26"/>
      <c r="C38" s="19"/>
      <c r="D38" s="19"/>
      <c r="E38" s="26"/>
      <c r="F38" s="26"/>
      <c r="G38" s="26"/>
      <c r="H38" s="26"/>
    </row>
    <row r="39" spans="1:12" x14ac:dyDescent="0.2">
      <c r="A39" s="32" t="s">
        <v>166</v>
      </c>
    </row>
    <row r="40" spans="1:12" x14ac:dyDescent="0.2">
      <c r="A40" s="49" t="s">
        <v>144</v>
      </c>
    </row>
    <row r="41" spans="1:12" x14ac:dyDescent="0.2">
      <c r="A41" s="90" t="s">
        <v>110</v>
      </c>
    </row>
    <row r="42" spans="1:12" x14ac:dyDescent="0.2">
      <c r="A42" s="47"/>
    </row>
    <row r="43" spans="1:12" x14ac:dyDescent="0.2">
      <c r="A43" s="47"/>
    </row>
  </sheetData>
  <sheetProtection algorithmName="SHA-512" hashValue="52Tc6hf+cDDP1YSMTaC2SZx0NjUq12fKCuk4Zpy0pgzPcyjg1ajg2gvz8hWek1M8wuYyqbYOnOAvlEFBoTBvXg==" saltValue="y1lAdJZTr518IpzR5KsrNQ==" spinCount="100000" sheet="1" objects="1" scenarios="1" selectLockedCells="1"/>
  <mergeCells count="28">
    <mergeCell ref="A10:B10"/>
    <mergeCell ref="A11:B11"/>
    <mergeCell ref="A14:B14"/>
    <mergeCell ref="A12:B12"/>
    <mergeCell ref="G12:J12"/>
    <mergeCell ref="G15:H15"/>
    <mergeCell ref="I15:J15"/>
    <mergeCell ref="C9:D9"/>
    <mergeCell ref="C10:D10"/>
    <mergeCell ref="C11:D11"/>
    <mergeCell ref="C12:D12"/>
    <mergeCell ref="C13:D13"/>
    <mergeCell ref="H1:I1"/>
    <mergeCell ref="I19:J19"/>
    <mergeCell ref="A13:B13"/>
    <mergeCell ref="A18:D18"/>
    <mergeCell ref="C16:D16"/>
    <mergeCell ref="C14:D14"/>
    <mergeCell ref="C17:D17"/>
    <mergeCell ref="A17:B17"/>
    <mergeCell ref="A16:B16"/>
    <mergeCell ref="A15:B15"/>
    <mergeCell ref="C15:D15"/>
    <mergeCell ref="I17:J17"/>
    <mergeCell ref="C8:D8"/>
    <mergeCell ref="G10:J11"/>
    <mergeCell ref="A9:B9"/>
    <mergeCell ref="G13:J14"/>
  </mergeCells>
  <phoneticPr fontId="3" type="noConversion"/>
  <conditionalFormatting sqref="A17:B17">
    <cfRule type="expression" dxfId="71" priority="20">
      <formula>C9="Various"</formula>
    </cfRule>
  </conditionalFormatting>
  <conditionalFormatting sqref="A18:D18">
    <cfRule type="expression" dxfId="70" priority="34">
      <formula>C9="Various"</formula>
    </cfRule>
  </conditionalFormatting>
  <conditionalFormatting sqref="C9:D9">
    <cfRule type="containsText" dxfId="69" priority="36" stopIfTrue="1" operator="containsText" text="Custom">
      <formula>NOT(ISERROR(SEARCH("Custom",C9)))</formula>
    </cfRule>
  </conditionalFormatting>
  <conditionalFormatting sqref="C17:D17">
    <cfRule type="expression" dxfId="68" priority="21">
      <formula>C9="Various"</formula>
    </cfRule>
  </conditionalFormatting>
  <conditionalFormatting sqref="E17">
    <cfRule type="expression" dxfId="67" priority="16">
      <formula>AND((C9="Various"),(C12="Exclude 500"))</formula>
    </cfRule>
    <cfRule type="expression" dxfId="66" priority="26">
      <formula>AND((C9="Various"),(C12="Include 500"))</formula>
    </cfRule>
    <cfRule type="expression" dxfId="65" priority="29">
      <formula>C9="Various"</formula>
    </cfRule>
  </conditionalFormatting>
  <conditionalFormatting sqref="E18">
    <cfRule type="expression" dxfId="64" priority="15">
      <formula>AND((C9="Various"),(C12="Exclude 500"))</formula>
    </cfRule>
    <cfRule type="expression" dxfId="63" priority="22">
      <formula>AND((C9="Various"),(C12="Include 500"))</formula>
    </cfRule>
    <cfRule type="expression" dxfId="62" priority="25">
      <formula>C9="Various"</formula>
    </cfRule>
  </conditionalFormatting>
  <conditionalFormatting sqref="F17">
    <cfRule type="expression" dxfId="61" priority="28">
      <formula>C9="Various"</formula>
    </cfRule>
  </conditionalFormatting>
  <conditionalFormatting sqref="F18">
    <cfRule type="expression" dxfId="60" priority="24">
      <formula>C9="Various"</formula>
    </cfRule>
  </conditionalFormatting>
  <conditionalFormatting sqref="G8">
    <cfRule type="expression" dxfId="59" priority="9">
      <formula>AND(C12="Include 500", C10="BC")</formula>
    </cfRule>
  </conditionalFormatting>
  <conditionalFormatting sqref="G17">
    <cfRule type="expression" dxfId="58" priority="27">
      <formula>C9="Various"</formula>
    </cfRule>
  </conditionalFormatting>
  <conditionalFormatting sqref="G18">
    <cfRule type="expression" dxfId="57" priority="23">
      <formula>C9="Various"</formula>
    </cfRule>
  </conditionalFormatting>
  <conditionalFormatting sqref="G16:H16">
    <cfRule type="expression" dxfId="56" priority="39" stopIfTrue="1">
      <formula>IF(C16&gt;"&gt;24",C18&gt;G10,FALSE)</formula>
    </cfRule>
  </conditionalFormatting>
  <conditionalFormatting sqref="G10:J11">
    <cfRule type="expression" dxfId="55" priority="43" stopIfTrue="1">
      <formula>J16&gt;10</formula>
    </cfRule>
    <cfRule type="expression" dxfId="54" priority="44" stopIfTrue="1">
      <formula>J16&gt;0</formula>
    </cfRule>
  </conditionalFormatting>
  <conditionalFormatting sqref="G12:J12">
    <cfRule type="expression" dxfId="53" priority="13">
      <formula>IF(E23&gt;95,TRUE,FALSE)</formula>
    </cfRule>
  </conditionalFormatting>
  <conditionalFormatting sqref="G13:J14">
    <cfRule type="expression" dxfId="52" priority="19" stopIfTrue="1">
      <formula>IF(K3&gt;0, 1)</formula>
    </cfRule>
  </conditionalFormatting>
  <conditionalFormatting sqref="H17">
    <cfRule type="expression" dxfId="51" priority="18">
      <formula>C9="Various"</formula>
    </cfRule>
  </conditionalFormatting>
  <conditionalFormatting sqref="H18">
    <cfRule type="expression" dxfId="50" priority="17">
      <formula>C9="Various"</formula>
    </cfRule>
  </conditionalFormatting>
  <conditionalFormatting sqref="I20">
    <cfRule type="expression" dxfId="49" priority="1">
      <formula>(I20&lt;0)</formula>
    </cfRule>
  </conditionalFormatting>
  <conditionalFormatting sqref="I16:J16">
    <cfRule type="expression" dxfId="48" priority="41" stopIfTrue="1">
      <formula>IF(C16&gt;"&gt;24",C18&gt;G10,FALSE)</formula>
    </cfRule>
  </conditionalFormatting>
  <conditionalFormatting sqref="I17:J17">
    <cfRule type="cellIs" dxfId="47" priority="46" stopIfTrue="1" operator="equal">
      <formula>"Masking Needed"</formula>
    </cfRule>
    <cfRule type="cellIs" dxfId="46" priority="47" stopIfTrue="1" operator="equal">
      <formula>"No need to mask"</formula>
    </cfRule>
  </conditionalFormatting>
  <conditionalFormatting sqref="I19:J20">
    <cfRule type="expression" dxfId="45" priority="3">
      <formula>(I20&lt;0)</formula>
    </cfRule>
  </conditionalFormatting>
  <conditionalFormatting sqref="J20">
    <cfRule type="expression" dxfId="44" priority="2">
      <formula>(I20&lt;0)</formula>
    </cfRule>
  </conditionalFormatting>
  <dataValidations xWindow="79" yWindow="619" count="11">
    <dataValidation type="list" allowBlank="1" showInputMessage="1" showErrorMessage="1" sqref="C15" xr:uid="{00000000-0002-0000-0000-000000000000}">
      <formula1>"0, 10, 20, 30, 40, 50, 60"</formula1>
    </dataValidation>
    <dataValidation type="list" allowBlank="1" showInputMessage="1" showErrorMessage="1" sqref="C14:D14" xr:uid="{00000000-0002-0000-0000-000001000000}">
      <formula1>"0,10,20,30,40,50,60"</formula1>
    </dataValidation>
    <dataValidation type="list" allowBlank="1" showInputMessage="1" showErrorMessage="1" sqref="C13:D13" xr:uid="{00000000-0002-0000-0000-000002000000}">
      <formula1>$P$6:$P$14</formula1>
    </dataValidation>
    <dataValidation type="list" allowBlank="1" showInputMessage="1" showErrorMessage="1" sqref="C9:D9" xr:uid="{00000000-0002-0000-0000-000003000000}">
      <formula1>"All the same, Various"</formula1>
    </dataValidation>
    <dataValidation type="list" allowBlank="1" showInputMessage="1" showErrorMessage="1" sqref="C12:D12" xr:uid="{00000000-0002-0000-0000-000004000000}">
      <formula1>$M$8:$M$9</formula1>
    </dataValidation>
    <dataValidation type="list" allowBlank="1" showInputMessage="1" showErrorMessage="1" sqref="C10:D10" xr:uid="{00000000-0002-0000-0000-000005000000}">
      <formula1>"Phones, Insert, BC"</formula1>
    </dataValidation>
    <dataValidation type="list" allowBlank="1" showInputMessage="1" showErrorMessage="1" sqref="C11:D11" xr:uid="{00000000-0002-0000-0000-000006000000}">
      <formula1>"Phones, Insert"</formula1>
    </dataValidation>
    <dataValidation type="list" allowBlank="1" showInputMessage="1" showErrorMessage="1" sqref="D8" xr:uid="{00000000-0002-0000-0000-000007000000}">
      <formula1>Q18:Q25</formula1>
    </dataValidation>
    <dataValidation type="list" allowBlank="1" showInputMessage="1" showErrorMessage="1" sqref="C8" xr:uid="{00000000-0002-0000-0000-000008000000}">
      <formula1>P18:P24</formula1>
    </dataValidation>
    <dataValidation type="whole" allowBlank="1" showInputMessage="1" showErrorMessage="1" error="Do not exceed 100dB at one frequency and limit multi-frequency tests to 80dB" prompt="Limit multi-frequency tests to 80dB" sqref="E18:H18" xr:uid="{00000000-0002-0000-0000-000009000000}">
      <formula1>-100</formula1>
      <formula2>100</formula2>
    </dataValidation>
    <dataValidation type="whole" allowBlank="1" showInputMessage="1" showErrorMessage="1" error="Do not exeed 80dB if stimulating at several frequencies" sqref="C17:D17" xr:uid="{00000000-0002-0000-0000-00000A000000}">
      <formula1>-100</formula1>
      <formula2>80</formula2>
    </dataValidation>
  </dataValidations>
  <hyperlinks>
    <hyperlink ref="E32" r:id="rId1" xr:uid="{00000000-0004-0000-0000-000000000000}"/>
    <hyperlink ref="G33" r:id="rId2" xr:uid="{00000000-0004-0000-0000-000001000000}"/>
  </hyperlinks>
  <pageMargins left="0.75" right="0.75" top="1" bottom="1" header="0.5" footer="0.5"/>
  <pageSetup paperSize="9" orientation="landscape" r:id="rId3"/>
  <headerFooter alignWithMargins="0"/>
  <ignoredErrors>
    <ignoredError sqref="D29" evalError="1"/>
  </ignoredErrors>
  <drawing r:id="rId4"/>
  <legacyDrawing r:id="rId5"/>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R34"/>
  <sheetViews>
    <sheetView showGridLines="0" showRowColHeaders="0" zoomScale="130" zoomScaleNormal="130" workbookViewId="0">
      <selection activeCell="D28" sqref="D28"/>
    </sheetView>
  </sheetViews>
  <sheetFormatPr defaultRowHeight="12.75" x14ac:dyDescent="0.2"/>
  <cols>
    <col min="1" max="1" width="16.7109375" customWidth="1"/>
    <col min="2" max="2" width="14.28515625" customWidth="1"/>
    <col min="3" max="3" width="11.28515625" customWidth="1"/>
    <col min="4" max="4" width="8.7109375" customWidth="1"/>
    <col min="5" max="6" width="7.5703125" customWidth="1"/>
    <col min="7" max="7" width="7.7109375" customWidth="1"/>
    <col min="8" max="9" width="8.28515625" customWidth="1"/>
    <col min="10" max="10" width="8.140625" customWidth="1"/>
    <col min="11" max="11" width="12.7109375" bestFit="1" customWidth="1"/>
  </cols>
  <sheetData>
    <row r="1" spans="1:44" ht="24" thickBot="1" x14ac:dyDescent="0.35">
      <c r="A1" s="111"/>
      <c r="B1" s="97" t="s">
        <v>119</v>
      </c>
      <c r="C1" s="111"/>
      <c r="D1" s="96"/>
      <c r="E1" s="95"/>
      <c r="F1" s="95"/>
      <c r="G1" s="95"/>
      <c r="H1" s="95"/>
      <c r="I1" s="95"/>
      <c r="J1" s="112"/>
      <c r="K1" s="51"/>
      <c r="L1" s="248"/>
      <c r="M1" s="51"/>
      <c r="N1" s="51"/>
      <c r="O1" s="51"/>
      <c r="P1" s="51"/>
      <c r="Q1" s="51"/>
      <c r="R1" s="51"/>
      <c r="S1" s="247"/>
      <c r="T1" s="247"/>
      <c r="U1" s="247"/>
      <c r="V1" s="247"/>
      <c r="W1" s="247"/>
      <c r="X1" s="247"/>
      <c r="Y1" s="247"/>
      <c r="Z1" s="247"/>
      <c r="AA1" s="247"/>
      <c r="AB1" s="247"/>
      <c r="AC1" s="247"/>
      <c r="AD1" s="247"/>
      <c r="AE1" s="247"/>
      <c r="AF1" s="247"/>
      <c r="AG1" s="247"/>
      <c r="AH1" s="247"/>
      <c r="AI1" s="247"/>
      <c r="AJ1" s="247"/>
      <c r="AK1" s="247"/>
      <c r="AL1" s="247"/>
      <c r="AM1" s="247"/>
      <c r="AN1" s="247"/>
      <c r="AO1" s="247"/>
      <c r="AP1" s="247"/>
      <c r="AQ1" s="247"/>
      <c r="AR1" s="247"/>
    </row>
    <row r="2" spans="1:44" ht="12.75" hidden="1" customHeight="1" x14ac:dyDescent="0.2">
      <c r="A2" s="15"/>
      <c r="K2" s="51">
        <f>IF(K3=TRUE, 1,0)</f>
        <v>0</v>
      </c>
      <c r="L2" s="51"/>
      <c r="M2" s="51"/>
      <c r="N2" s="51"/>
      <c r="O2" s="51"/>
      <c r="P2" s="51"/>
      <c r="Q2" s="51"/>
      <c r="R2" s="51"/>
      <c r="S2" s="247"/>
      <c r="T2" s="247"/>
      <c r="U2" s="247"/>
      <c r="V2" s="247"/>
      <c r="W2" s="247"/>
      <c r="X2" s="247"/>
      <c r="Y2" s="247"/>
      <c r="Z2" s="247"/>
      <c r="AA2" s="247"/>
      <c r="AB2" s="247"/>
      <c r="AC2" s="247"/>
      <c r="AD2" s="247"/>
      <c r="AE2" s="247"/>
      <c r="AF2" s="247"/>
      <c r="AG2" s="247"/>
      <c r="AH2" s="247"/>
      <c r="AI2" s="247"/>
      <c r="AJ2" s="247"/>
      <c r="AK2" s="247"/>
      <c r="AL2" s="247"/>
      <c r="AM2" s="247"/>
      <c r="AN2" s="247"/>
      <c r="AO2" s="247"/>
      <c r="AP2" s="247"/>
      <c r="AQ2" s="247"/>
      <c r="AR2" s="247"/>
    </row>
    <row r="3" spans="1:44" ht="12.75" hidden="1" customHeight="1" x14ac:dyDescent="0.2">
      <c r="K3" s="51" t="b">
        <f>IF(C13&gt;"&gt;104",C17&gt;G9,1)</f>
        <v>0</v>
      </c>
      <c r="L3" s="51"/>
      <c r="M3" s="51"/>
      <c r="N3" s="51"/>
      <c r="O3" s="51"/>
      <c r="P3" s="249" t="s">
        <v>25</v>
      </c>
      <c r="Q3" s="51"/>
      <c r="R3" s="51"/>
      <c r="S3" s="247"/>
      <c r="T3" s="247"/>
      <c r="U3" s="247"/>
      <c r="V3" s="247"/>
      <c r="W3" s="247"/>
      <c r="X3" s="247"/>
      <c r="Y3" s="247"/>
      <c r="Z3" s="247"/>
      <c r="AA3" s="247"/>
      <c r="AB3" s="247"/>
      <c r="AC3" s="247"/>
      <c r="AD3" s="247"/>
      <c r="AE3" s="247"/>
      <c r="AF3" s="247"/>
      <c r="AG3" s="247"/>
      <c r="AH3" s="247"/>
      <c r="AI3" s="247"/>
      <c r="AJ3" s="247"/>
      <c r="AK3" s="247"/>
      <c r="AL3" s="247"/>
      <c r="AM3" s="247"/>
      <c r="AN3" s="247"/>
      <c r="AO3" s="247"/>
      <c r="AP3" s="247"/>
      <c r="AQ3" s="247"/>
      <c r="AR3" s="247"/>
    </row>
    <row r="4" spans="1:44" ht="12.75" hidden="1" customHeight="1" x14ac:dyDescent="0.2">
      <c r="A4" s="58"/>
      <c r="K4" s="51"/>
      <c r="L4" s="51"/>
      <c r="M4" s="51"/>
      <c r="N4" s="51"/>
      <c r="O4" s="51"/>
      <c r="P4" s="249"/>
      <c r="Q4" s="51"/>
      <c r="R4" s="51"/>
      <c r="S4" s="247"/>
      <c r="T4" s="247"/>
      <c r="U4" s="247"/>
      <c r="V4" s="247"/>
      <c r="W4" s="247"/>
      <c r="X4" s="247"/>
      <c r="Y4" s="247"/>
      <c r="Z4" s="247"/>
      <c r="AA4" s="247"/>
      <c r="AB4" s="247"/>
      <c r="AC4" s="247"/>
      <c r="AD4" s="247"/>
      <c r="AE4" s="247"/>
      <c r="AF4" s="247"/>
      <c r="AG4" s="247"/>
      <c r="AH4" s="247"/>
      <c r="AI4" s="247"/>
      <c r="AJ4" s="247"/>
      <c r="AK4" s="247"/>
      <c r="AL4" s="247"/>
      <c r="AM4" s="247"/>
      <c r="AN4" s="247"/>
      <c r="AO4" s="247"/>
      <c r="AP4" s="247"/>
      <c r="AQ4" s="247"/>
      <c r="AR4" s="247"/>
    </row>
    <row r="5" spans="1:44" ht="12.75" customHeight="1" x14ac:dyDescent="0.2">
      <c r="A5" s="58"/>
      <c r="K5" s="51"/>
      <c r="L5" s="51"/>
      <c r="M5" s="51"/>
      <c r="N5" s="51"/>
      <c r="O5" s="51"/>
      <c r="P5" s="249"/>
      <c r="Q5" s="51"/>
      <c r="R5" s="51"/>
      <c r="S5" s="247"/>
      <c r="T5" s="247"/>
      <c r="U5" s="247"/>
      <c r="V5" s="247"/>
      <c r="W5" s="247"/>
      <c r="X5" s="247"/>
      <c r="Y5" s="247"/>
      <c r="Z5" s="247"/>
      <c r="AA5" s="247"/>
      <c r="AB5" s="247"/>
      <c r="AC5" s="247"/>
      <c r="AD5" s="247"/>
      <c r="AE5" s="247"/>
      <c r="AF5" s="247"/>
      <c r="AG5" s="247"/>
      <c r="AH5" s="247"/>
      <c r="AI5" s="247"/>
      <c r="AJ5" s="247"/>
      <c r="AK5" s="247"/>
      <c r="AL5" s="247"/>
      <c r="AM5" s="247"/>
      <c r="AN5" s="247"/>
      <c r="AO5" s="247"/>
      <c r="AP5" s="247"/>
      <c r="AQ5" s="247"/>
      <c r="AR5" s="247"/>
    </row>
    <row r="6" spans="1:44" ht="12.75" customHeight="1" x14ac:dyDescent="0.2">
      <c r="A6" s="62" t="s">
        <v>77</v>
      </c>
      <c r="K6" s="50" t="s">
        <v>75</v>
      </c>
      <c r="L6" s="50" t="s">
        <v>74</v>
      </c>
      <c r="M6" s="51" t="str">
        <f>VLOOKUP(C12,K7:L16,2,FALSE)</f>
        <v>4k</v>
      </c>
      <c r="N6" s="51"/>
      <c r="O6" s="51"/>
      <c r="P6" s="249" t="s">
        <v>26</v>
      </c>
      <c r="Q6" s="51"/>
      <c r="R6" s="51"/>
      <c r="S6" s="247"/>
      <c r="T6" s="247"/>
      <c r="U6" s="247"/>
      <c r="V6" s="247"/>
      <c r="W6" s="247"/>
      <c r="X6" s="247"/>
      <c r="Y6" s="247"/>
      <c r="Z6" s="247"/>
      <c r="AA6" s="247"/>
      <c r="AB6" s="247"/>
      <c r="AC6" s="247"/>
      <c r="AD6" s="247"/>
      <c r="AE6" s="247"/>
      <c r="AF6" s="247"/>
      <c r="AG6" s="247"/>
      <c r="AH6" s="247"/>
      <c r="AI6" s="247"/>
      <c r="AJ6" s="247"/>
      <c r="AK6" s="247"/>
      <c r="AL6" s="247"/>
      <c r="AM6" s="247"/>
      <c r="AN6" s="247"/>
      <c r="AO6" s="247"/>
      <c r="AP6" s="247"/>
      <c r="AQ6" s="247"/>
      <c r="AR6" s="247"/>
    </row>
    <row r="7" spans="1:44" ht="12.75" customHeight="1" x14ac:dyDescent="0.2">
      <c r="A7" s="62" t="s">
        <v>95</v>
      </c>
      <c r="K7" s="50" t="s">
        <v>1</v>
      </c>
      <c r="L7" s="50" t="s">
        <v>73</v>
      </c>
      <c r="M7" s="51"/>
      <c r="N7" s="51"/>
      <c r="O7" s="51"/>
      <c r="P7" s="249" t="s">
        <v>27</v>
      </c>
      <c r="Q7" s="51"/>
      <c r="R7" s="51"/>
      <c r="S7" s="247"/>
      <c r="T7" s="247"/>
      <c r="U7" s="247"/>
      <c r="V7" s="247"/>
      <c r="W7" s="247"/>
      <c r="X7" s="247"/>
      <c r="Y7" s="247"/>
      <c r="Z7" s="247"/>
      <c r="AA7" s="247"/>
      <c r="AB7" s="247"/>
      <c r="AC7" s="247"/>
      <c r="AD7" s="247"/>
      <c r="AE7" s="247"/>
      <c r="AF7" s="247"/>
      <c r="AG7" s="247"/>
      <c r="AH7" s="247"/>
      <c r="AI7" s="247"/>
      <c r="AJ7" s="247"/>
      <c r="AK7" s="247"/>
      <c r="AL7" s="247"/>
      <c r="AM7" s="247"/>
      <c r="AN7" s="247"/>
      <c r="AO7" s="247"/>
      <c r="AP7" s="247"/>
      <c r="AQ7" s="247"/>
      <c r="AR7" s="247"/>
    </row>
    <row r="8" spans="1:44" ht="12.75" customHeight="1" thickBot="1" x14ac:dyDescent="0.25">
      <c r="G8" s="196" t="s">
        <v>92</v>
      </c>
      <c r="H8" s="196"/>
      <c r="I8" s="196"/>
      <c r="J8" s="196"/>
      <c r="K8" s="50" t="s">
        <v>126</v>
      </c>
      <c r="L8" s="50" t="s">
        <v>70</v>
      </c>
      <c r="M8" s="51"/>
      <c r="N8" s="51"/>
      <c r="O8" s="51"/>
      <c r="P8" s="249" t="s">
        <v>28</v>
      </c>
      <c r="Q8" s="51"/>
      <c r="R8" s="51"/>
      <c r="S8" s="247"/>
      <c r="T8" s="247"/>
      <c r="U8" s="247"/>
      <c r="V8" s="247"/>
      <c r="W8" s="247"/>
      <c r="X8" s="247"/>
      <c r="Y8" s="247"/>
      <c r="Z8" s="247"/>
      <c r="AA8" s="247"/>
      <c r="AB8" s="247"/>
      <c r="AC8" s="247"/>
      <c r="AD8" s="247"/>
      <c r="AE8" s="247"/>
      <c r="AF8" s="247"/>
      <c r="AG8" s="247"/>
      <c r="AH8" s="247"/>
      <c r="AI8" s="247"/>
      <c r="AJ8" s="247"/>
      <c r="AK8" s="247"/>
      <c r="AL8" s="247"/>
      <c r="AM8" s="247"/>
      <c r="AN8" s="247"/>
      <c r="AO8" s="247"/>
      <c r="AP8" s="247"/>
      <c r="AQ8" s="247"/>
      <c r="AR8" s="247"/>
    </row>
    <row r="9" spans="1:44" ht="12.75" customHeight="1" x14ac:dyDescent="0.2">
      <c r="A9" s="197" t="s">
        <v>91</v>
      </c>
      <c r="B9" s="198"/>
      <c r="C9" s="199" t="str">
        <f>Calculator!$C$8</f>
        <v>GSI Audera</v>
      </c>
      <c r="D9" s="200"/>
      <c r="E9" s="1"/>
      <c r="G9" s="21">
        <f>IF(C10&gt;"BC",VLOOKUP(C12,Data!AD3:AF12,(IF(C10="Phones",2,3)),FALSE),"")</f>
        <v>95</v>
      </c>
      <c r="H9" s="21">
        <f>IF(D29&gt;(C17+C20-E14+D23-10),1,0)</f>
        <v>0</v>
      </c>
      <c r="I9" s="22"/>
      <c r="J9" s="21"/>
      <c r="K9" s="50" t="s">
        <v>127</v>
      </c>
      <c r="L9" s="50" t="s">
        <v>71</v>
      </c>
      <c r="M9" s="51"/>
      <c r="N9" s="51"/>
      <c r="O9" s="51"/>
      <c r="P9" s="249" t="s">
        <v>29</v>
      </c>
      <c r="Q9" s="51"/>
      <c r="R9" s="51"/>
      <c r="S9" s="247"/>
      <c r="T9" s="247"/>
      <c r="U9" s="247"/>
      <c r="V9" s="247"/>
      <c r="W9" s="247"/>
      <c r="X9" s="247"/>
      <c r="Y9" s="247"/>
      <c r="Z9" s="247"/>
      <c r="AA9" s="247"/>
      <c r="AB9" s="247"/>
      <c r="AC9" s="247"/>
      <c r="AD9" s="247"/>
      <c r="AE9" s="247"/>
      <c r="AF9" s="247"/>
      <c r="AG9" s="247"/>
      <c r="AH9" s="247"/>
      <c r="AI9" s="247"/>
      <c r="AJ9" s="247"/>
      <c r="AK9" s="247"/>
      <c r="AL9" s="247"/>
      <c r="AM9" s="247"/>
      <c r="AN9" s="247"/>
      <c r="AO9" s="247"/>
      <c r="AP9" s="247"/>
      <c r="AQ9" s="247"/>
      <c r="AR9" s="247"/>
    </row>
    <row r="10" spans="1:44" ht="12.75" customHeight="1" x14ac:dyDescent="0.2">
      <c r="A10" s="201" t="s">
        <v>90</v>
      </c>
      <c r="B10" s="202"/>
      <c r="C10" s="203" t="str">
        <f>Calculator!C10</f>
        <v>Insert</v>
      </c>
      <c r="D10" s="204"/>
      <c r="E10" s="1"/>
      <c r="G10" s="205" t="str">
        <f>CONCATENATE("Warning! There is a ",H9," risk of cross-masking")</f>
        <v>Warning! There is a 0 risk of cross-masking</v>
      </c>
      <c r="H10" s="205"/>
      <c r="I10" s="205"/>
      <c r="J10" s="205"/>
      <c r="K10" s="50" t="s">
        <v>128</v>
      </c>
      <c r="L10" s="50" t="s">
        <v>72</v>
      </c>
      <c r="M10" s="51"/>
      <c r="N10" s="51"/>
      <c r="O10" s="51"/>
      <c r="P10" s="249" t="s">
        <v>30</v>
      </c>
      <c r="Q10" s="51"/>
      <c r="R10" s="51"/>
      <c r="S10" s="247"/>
      <c r="T10" s="247"/>
      <c r="U10" s="247"/>
      <c r="V10" s="247"/>
      <c r="W10" s="247"/>
      <c r="X10" s="247"/>
      <c r="Y10" s="247"/>
      <c r="Z10" s="247"/>
      <c r="AA10" s="247"/>
      <c r="AB10" s="247"/>
      <c r="AC10" s="247"/>
      <c r="AD10" s="247"/>
      <c r="AE10" s="247"/>
      <c r="AF10" s="247"/>
      <c r="AG10" s="247"/>
      <c r="AH10" s="247"/>
      <c r="AI10" s="247"/>
      <c r="AJ10" s="247"/>
      <c r="AK10" s="247"/>
      <c r="AL10" s="247"/>
      <c r="AM10" s="247"/>
      <c r="AN10" s="247"/>
      <c r="AO10" s="247"/>
      <c r="AP10" s="247"/>
      <c r="AQ10" s="247"/>
      <c r="AR10" s="247"/>
    </row>
    <row r="11" spans="1:44" ht="12.75" customHeight="1" x14ac:dyDescent="0.2">
      <c r="A11" s="201" t="s">
        <v>89</v>
      </c>
      <c r="B11" s="202"/>
      <c r="C11" s="203" t="str">
        <f>Calculator!$C$11</f>
        <v>Insert</v>
      </c>
      <c r="D11" s="204"/>
      <c r="E11" s="1"/>
      <c r="G11" s="205"/>
      <c r="H11" s="205"/>
      <c r="I11" s="205"/>
      <c r="J11" s="205"/>
      <c r="K11" s="50" t="s">
        <v>129</v>
      </c>
      <c r="L11" s="50">
        <v>500</v>
      </c>
      <c r="M11" s="51"/>
      <c r="N11" s="51"/>
      <c r="O11" s="51"/>
      <c r="P11" s="249" t="s">
        <v>31</v>
      </c>
      <c r="Q11" s="51"/>
      <c r="R11" s="51"/>
      <c r="S11" s="247"/>
      <c r="T11" s="247"/>
      <c r="U11" s="247"/>
      <c r="V11" s="247"/>
      <c r="W11" s="247"/>
      <c r="X11" s="247"/>
      <c r="Y11" s="247"/>
      <c r="Z11" s="247"/>
      <c r="AA11" s="247"/>
      <c r="AB11" s="247"/>
      <c r="AC11" s="247"/>
      <c r="AD11" s="247"/>
      <c r="AE11" s="247"/>
      <c r="AF11" s="247"/>
      <c r="AG11" s="247"/>
      <c r="AH11" s="247"/>
      <c r="AI11" s="247"/>
      <c r="AJ11" s="247"/>
      <c r="AK11" s="247"/>
      <c r="AL11" s="247"/>
      <c r="AM11" s="247"/>
      <c r="AN11" s="247"/>
      <c r="AO11" s="247"/>
      <c r="AP11" s="247"/>
      <c r="AQ11" s="247"/>
      <c r="AR11" s="247"/>
    </row>
    <row r="12" spans="1:44" ht="12.75" customHeight="1" x14ac:dyDescent="0.2">
      <c r="A12" s="201" t="s">
        <v>88</v>
      </c>
      <c r="B12" s="202"/>
      <c r="C12" s="203" t="s">
        <v>126</v>
      </c>
      <c r="D12" s="204"/>
      <c r="E12" s="1"/>
      <c r="G12" s="206" t="s">
        <v>93</v>
      </c>
      <c r="H12" s="206"/>
      <c r="I12" s="206"/>
      <c r="J12" s="206"/>
      <c r="K12" s="50" t="s">
        <v>78</v>
      </c>
      <c r="L12" s="50" t="s">
        <v>76</v>
      </c>
      <c r="M12" s="51"/>
      <c r="N12" s="51"/>
      <c r="O12" s="51"/>
      <c r="P12" s="249" t="s">
        <v>69</v>
      </c>
      <c r="Q12" s="51"/>
      <c r="R12" s="51"/>
      <c r="S12" s="247"/>
      <c r="T12" s="247"/>
      <c r="U12" s="247"/>
      <c r="V12" s="247"/>
      <c r="W12" s="247"/>
      <c r="X12" s="247"/>
      <c r="Y12" s="247"/>
      <c r="Z12" s="247"/>
      <c r="AA12" s="247"/>
      <c r="AB12" s="247"/>
      <c r="AC12" s="247"/>
      <c r="AD12" s="247"/>
      <c r="AE12" s="247"/>
      <c r="AF12" s="247"/>
      <c r="AG12" s="247"/>
      <c r="AH12" s="247"/>
      <c r="AI12" s="247"/>
      <c r="AJ12" s="247"/>
      <c r="AK12" s="247"/>
      <c r="AL12" s="247"/>
      <c r="AM12" s="247"/>
      <c r="AN12" s="247"/>
      <c r="AO12" s="247"/>
      <c r="AP12" s="247"/>
      <c r="AQ12" s="247"/>
      <c r="AR12" s="247"/>
    </row>
    <row r="13" spans="1:44" ht="12.75" customHeight="1" x14ac:dyDescent="0.25">
      <c r="A13" s="192" t="s">
        <v>87</v>
      </c>
      <c r="B13" s="193"/>
      <c r="C13" s="194" t="str">
        <f>Calculator!$C$13</f>
        <v>6 to 8</v>
      </c>
      <c r="D13" s="195"/>
      <c r="E13" s="1"/>
      <c r="F13" s="63"/>
      <c r="G13" s="206"/>
      <c r="H13" s="206"/>
      <c r="I13" s="206"/>
      <c r="J13" s="206"/>
      <c r="K13" s="50" t="s">
        <v>79</v>
      </c>
      <c r="L13" s="50" t="s">
        <v>70</v>
      </c>
      <c r="M13" s="51"/>
      <c r="N13" s="51"/>
      <c r="O13" s="51"/>
      <c r="P13" s="249" t="s">
        <v>94</v>
      </c>
      <c r="Q13" s="51"/>
      <c r="R13" s="51"/>
      <c r="S13" s="247"/>
      <c r="T13" s="247"/>
      <c r="U13" s="247"/>
      <c r="V13" s="247"/>
      <c r="W13" s="247"/>
      <c r="X13" s="247"/>
      <c r="Y13" s="247"/>
      <c r="Z13" s="247"/>
      <c r="AA13" s="247"/>
      <c r="AB13" s="247"/>
      <c r="AC13" s="247"/>
      <c r="AD13" s="247"/>
      <c r="AE13" s="247"/>
      <c r="AF13" s="247"/>
      <c r="AG13" s="247"/>
      <c r="AH13" s="247"/>
      <c r="AI13" s="247"/>
      <c r="AJ13" s="247"/>
      <c r="AK13" s="247"/>
      <c r="AL13" s="247"/>
      <c r="AM13" s="247"/>
      <c r="AN13" s="247"/>
      <c r="AO13" s="247"/>
      <c r="AP13" s="247"/>
      <c r="AQ13" s="247"/>
      <c r="AR13" s="247"/>
    </row>
    <row r="14" spans="1:44" ht="12.75" customHeight="1" x14ac:dyDescent="0.25">
      <c r="A14" s="192" t="s">
        <v>86</v>
      </c>
      <c r="B14" s="193"/>
      <c r="C14" s="194">
        <f>Calculator!$C$14</f>
        <v>0</v>
      </c>
      <c r="D14" s="195"/>
      <c r="E14" s="28">
        <f>IF(C10&gt;"BC",C14,0)</f>
        <v>0</v>
      </c>
      <c r="F14" s="63"/>
      <c r="G14" s="64"/>
      <c r="H14" s="64"/>
      <c r="I14" s="64"/>
      <c r="J14" s="64"/>
      <c r="K14" s="50" t="s">
        <v>80</v>
      </c>
      <c r="L14" s="50" t="s">
        <v>71</v>
      </c>
      <c r="M14" s="51"/>
      <c r="N14" s="51"/>
      <c r="O14" s="51"/>
      <c r="P14" s="249" t="s">
        <v>68</v>
      </c>
      <c r="Q14" s="51"/>
      <c r="R14" s="51"/>
      <c r="S14" s="247"/>
      <c r="T14" s="247"/>
      <c r="U14" s="247"/>
      <c r="V14" s="247"/>
      <c r="W14" s="247"/>
      <c r="X14" s="247"/>
      <c r="Y14" s="247"/>
      <c r="Z14" s="247"/>
      <c r="AA14" s="247"/>
      <c r="AB14" s="247"/>
      <c r="AC14" s="247"/>
      <c r="AD14" s="247"/>
      <c r="AE14" s="247"/>
      <c r="AF14" s="247"/>
      <c r="AG14" s="247"/>
      <c r="AH14" s="247"/>
      <c r="AI14" s="247"/>
      <c r="AJ14" s="247"/>
      <c r="AK14" s="247"/>
      <c r="AL14" s="247"/>
      <c r="AM14" s="247"/>
      <c r="AN14" s="247"/>
      <c r="AO14" s="247"/>
      <c r="AP14" s="247"/>
      <c r="AQ14" s="247"/>
      <c r="AR14" s="247"/>
    </row>
    <row r="15" spans="1:44" ht="12.75" customHeight="1" x14ac:dyDescent="0.25">
      <c r="A15" s="201" t="s">
        <v>85</v>
      </c>
      <c r="B15" s="202"/>
      <c r="C15" s="203">
        <f>Calculator!$C$15</f>
        <v>0</v>
      </c>
      <c r="D15" s="204"/>
      <c r="E15" s="1"/>
      <c r="F15" s="63"/>
      <c r="G15" s="215">
        <f>G9</f>
        <v>95</v>
      </c>
      <c r="H15" s="215"/>
      <c r="I15" s="216" t="s">
        <v>23</v>
      </c>
      <c r="J15" s="216"/>
      <c r="K15" s="50" t="s">
        <v>81</v>
      </c>
      <c r="L15" s="50" t="s">
        <v>72</v>
      </c>
      <c r="M15" s="51"/>
      <c r="N15" s="51"/>
      <c r="O15" s="51"/>
      <c r="P15" s="249"/>
      <c r="Q15" s="51"/>
      <c r="R15" s="51"/>
      <c r="S15" s="247"/>
      <c r="T15" s="247"/>
      <c r="U15" s="247"/>
      <c r="V15" s="247"/>
      <c r="W15" s="247"/>
      <c r="X15" s="247"/>
      <c r="Y15" s="247"/>
      <c r="Z15" s="247"/>
      <c r="AA15" s="247"/>
      <c r="AB15" s="247"/>
      <c r="AC15" s="247"/>
      <c r="AD15" s="247"/>
      <c r="AE15" s="247"/>
      <c r="AF15" s="247"/>
      <c r="AG15" s="247"/>
      <c r="AH15" s="247"/>
      <c r="AI15" s="247"/>
      <c r="AJ15" s="247"/>
      <c r="AK15" s="247"/>
      <c r="AL15" s="247"/>
      <c r="AM15" s="247"/>
      <c r="AN15" s="247"/>
      <c r="AO15" s="247"/>
      <c r="AP15" s="247"/>
      <c r="AQ15" s="247"/>
      <c r="AR15" s="247"/>
    </row>
    <row r="16" spans="1:44" ht="12.75" customHeight="1" thickBot="1" x14ac:dyDescent="0.3">
      <c r="A16" s="192" t="s">
        <v>84</v>
      </c>
      <c r="B16" s="193"/>
      <c r="C16" s="194">
        <f>Calculator!$C$16</f>
        <v>0</v>
      </c>
      <c r="D16" s="195"/>
      <c r="E16" s="1"/>
      <c r="F16" s="63"/>
      <c r="G16" s="65"/>
      <c r="H16" s="65"/>
      <c r="I16" s="66">
        <f>(B28+2-C16)</f>
        <v>-37</v>
      </c>
      <c r="J16" s="67">
        <f>(D29-(C17+C20-E14+D23-20))</f>
        <v>-113</v>
      </c>
      <c r="K16" s="50" t="s">
        <v>82</v>
      </c>
      <c r="L16" s="50">
        <v>500</v>
      </c>
      <c r="M16" s="51"/>
      <c r="N16" s="51"/>
      <c r="O16" s="51"/>
      <c r="P16" s="249"/>
      <c r="Q16" s="51"/>
      <c r="R16" s="51"/>
      <c r="S16" s="247"/>
      <c r="T16" s="247"/>
      <c r="U16" s="247"/>
      <c r="V16" s="247"/>
      <c r="W16" s="247"/>
      <c r="X16" s="247"/>
      <c r="Y16" s="247"/>
      <c r="Z16" s="247"/>
      <c r="AA16" s="247"/>
      <c r="AB16" s="247"/>
      <c r="AC16" s="247"/>
      <c r="AD16" s="247"/>
      <c r="AE16" s="247"/>
      <c r="AF16" s="247"/>
      <c r="AG16" s="247"/>
      <c r="AH16" s="247"/>
      <c r="AI16" s="247"/>
      <c r="AJ16" s="247"/>
      <c r="AK16" s="247"/>
      <c r="AL16" s="247"/>
      <c r="AM16" s="247"/>
      <c r="AN16" s="247"/>
      <c r="AO16" s="247"/>
      <c r="AP16" s="247"/>
      <c r="AQ16" s="247"/>
      <c r="AR16" s="247"/>
    </row>
    <row r="17" spans="1:44" ht="12.75" customHeight="1" thickBot="1" x14ac:dyDescent="0.25">
      <c r="A17" s="207" t="s">
        <v>19</v>
      </c>
      <c r="B17" s="208"/>
      <c r="C17" s="209">
        <f>IF(Calculator!C9="Various", Calculator!H18, Calculator!$C$17)</f>
        <v>50</v>
      </c>
      <c r="D17" s="210"/>
      <c r="E17" s="211">
        <f>B27</f>
        <v>35</v>
      </c>
      <c r="F17" s="212"/>
      <c r="G17" s="68" t="s">
        <v>64</v>
      </c>
      <c r="I17" s="213" t="str">
        <f>IF((2+B28)&gt;C16,"Masking Needed","No need to mask")</f>
        <v>No need to mask</v>
      </c>
      <c r="J17" s="214"/>
      <c r="K17" s="51"/>
      <c r="L17" s="51"/>
      <c r="M17" s="51"/>
      <c r="N17" s="51"/>
      <c r="O17" s="51"/>
      <c r="P17" s="51"/>
      <c r="Q17" s="51"/>
      <c r="R17" s="51"/>
      <c r="S17" s="247"/>
      <c r="T17" s="247"/>
      <c r="U17" s="247"/>
      <c r="V17" s="247"/>
      <c r="W17" s="247"/>
      <c r="X17" s="247"/>
      <c r="Y17" s="247"/>
      <c r="Z17" s="247"/>
      <c r="AA17" s="247"/>
      <c r="AB17" s="247"/>
      <c r="AC17" s="247"/>
      <c r="AD17" s="247"/>
      <c r="AE17" s="247"/>
      <c r="AF17" s="247"/>
      <c r="AG17" s="247"/>
      <c r="AH17" s="247"/>
      <c r="AI17" s="247"/>
      <c r="AJ17" s="247"/>
      <c r="AK17" s="247"/>
      <c r="AL17" s="247"/>
      <c r="AM17" s="247"/>
      <c r="AN17" s="247"/>
      <c r="AO17" s="247"/>
      <c r="AP17" s="247"/>
      <c r="AQ17" s="247"/>
      <c r="AR17" s="247"/>
    </row>
    <row r="18" spans="1:44" ht="12.75" customHeight="1" thickBot="1" x14ac:dyDescent="0.25">
      <c r="F18" s="69"/>
      <c r="I18" s="51">
        <f>IF(I17="Masking Needed", 1,0)</f>
        <v>0</v>
      </c>
      <c r="K18" s="51"/>
      <c r="L18" s="51"/>
      <c r="M18" s="51"/>
      <c r="N18" s="51"/>
      <c r="O18" s="51"/>
      <c r="P18" s="59" t="s">
        <v>123</v>
      </c>
      <c r="Q18" s="51"/>
      <c r="R18" s="51"/>
      <c r="S18" s="247"/>
      <c r="T18" s="247"/>
      <c r="U18" s="247"/>
      <c r="V18" s="247"/>
      <c r="W18" s="247"/>
      <c r="X18" s="247"/>
      <c r="Y18" s="247"/>
      <c r="Z18" s="247"/>
      <c r="AA18" s="247"/>
      <c r="AB18" s="247"/>
      <c r="AC18" s="247"/>
      <c r="AD18" s="247"/>
      <c r="AE18" s="247"/>
      <c r="AF18" s="247"/>
      <c r="AG18" s="247"/>
      <c r="AH18" s="247"/>
      <c r="AI18" s="247"/>
      <c r="AJ18" s="247"/>
      <c r="AK18" s="247"/>
      <c r="AL18" s="247"/>
      <c r="AM18" s="247"/>
      <c r="AN18" s="247"/>
      <c r="AO18" s="247"/>
      <c r="AP18" s="247"/>
      <c r="AQ18" s="247"/>
      <c r="AR18" s="247"/>
    </row>
    <row r="19" spans="1:44" ht="15" customHeight="1" x14ac:dyDescent="0.2">
      <c r="A19" s="70" t="s">
        <v>2</v>
      </c>
      <c r="B19" s="71" t="s">
        <v>8</v>
      </c>
      <c r="C19" s="72" t="s">
        <v>9</v>
      </c>
      <c r="D19" s="72" t="s">
        <v>52</v>
      </c>
      <c r="E19" s="72" t="s">
        <v>39</v>
      </c>
      <c r="F19" s="72" t="s">
        <v>55</v>
      </c>
      <c r="G19" s="72" t="s">
        <v>6</v>
      </c>
      <c r="H19" s="73" t="s">
        <v>4</v>
      </c>
      <c r="I19" s="74" t="s">
        <v>3</v>
      </c>
      <c r="J19" s="75" t="s">
        <v>34</v>
      </c>
      <c r="K19" s="51"/>
      <c r="L19" s="51"/>
      <c r="M19" s="51"/>
      <c r="N19" s="51"/>
      <c r="O19" s="51"/>
      <c r="P19" s="59" t="s">
        <v>35</v>
      </c>
      <c r="Q19" s="51"/>
      <c r="R19" s="51"/>
      <c r="S19" s="247"/>
      <c r="T19" s="247"/>
      <c r="U19" s="247"/>
      <c r="V19" s="247"/>
      <c r="W19" s="247"/>
      <c r="X19" s="247"/>
      <c r="Y19" s="247"/>
      <c r="Z19" s="247"/>
      <c r="AA19" s="247"/>
      <c r="AB19" s="247"/>
      <c r="AC19" s="247"/>
      <c r="AD19" s="247"/>
      <c r="AE19" s="247"/>
      <c r="AF19" s="247"/>
      <c r="AG19" s="247"/>
      <c r="AH19" s="247"/>
      <c r="AI19" s="247"/>
      <c r="AJ19" s="247"/>
      <c r="AK19" s="247"/>
      <c r="AL19" s="247"/>
      <c r="AM19" s="247"/>
      <c r="AN19" s="247"/>
      <c r="AO19" s="247"/>
      <c r="AP19" s="247"/>
      <c r="AQ19" s="247"/>
      <c r="AR19" s="247"/>
    </row>
    <row r="20" spans="1:44" ht="15.75" customHeight="1" thickBot="1" x14ac:dyDescent="0.35">
      <c r="A20" s="76" t="s">
        <v>43</v>
      </c>
      <c r="B20" s="77">
        <f>C17</f>
        <v>50</v>
      </c>
      <c r="C20" s="77">
        <f>IF(C10="BC",B26,(IF(C10="Insert",B24,0)))</f>
        <v>10</v>
      </c>
      <c r="D20" s="77">
        <f>D24</f>
        <v>25</v>
      </c>
      <c r="E20" s="77">
        <f>+C15</f>
        <v>0</v>
      </c>
      <c r="F20" s="77">
        <f>(D26+D28)</f>
        <v>74</v>
      </c>
      <c r="G20" s="78">
        <f>IF(C11="Insert",B24,0)</f>
        <v>10</v>
      </c>
      <c r="H20" s="79">
        <f>B25</f>
        <v>-9</v>
      </c>
      <c r="I20" s="80">
        <f>5*(ROUND((B20+C20+D20+E20-F20-G20-H20)/5,0))</f>
        <v>10</v>
      </c>
      <c r="J20" s="20">
        <f>IF((I20-C17)&gt;0,"+" &amp; (I20-C17),(I20-C17))</f>
        <v>-40</v>
      </c>
      <c r="K20" s="51"/>
      <c r="L20" s="51"/>
      <c r="M20" s="51"/>
      <c r="N20" s="51"/>
      <c r="O20" s="51"/>
      <c r="P20" s="59" t="s">
        <v>36</v>
      </c>
      <c r="Q20" s="51"/>
      <c r="R20" s="51"/>
      <c r="S20" s="247"/>
      <c r="T20" s="247"/>
      <c r="U20" s="247"/>
      <c r="V20" s="247"/>
      <c r="W20" s="247"/>
      <c r="X20" s="247"/>
      <c r="Y20" s="247"/>
      <c r="Z20" s="247"/>
      <c r="AA20" s="247"/>
      <c r="AB20" s="247"/>
      <c r="AC20" s="247"/>
      <c r="AD20" s="247"/>
      <c r="AE20" s="247"/>
      <c r="AF20" s="247"/>
      <c r="AG20" s="247"/>
      <c r="AH20" s="247"/>
      <c r="AI20" s="247"/>
      <c r="AJ20" s="247"/>
      <c r="AK20" s="247"/>
      <c r="AL20" s="247"/>
      <c r="AM20" s="247"/>
      <c r="AN20" s="247"/>
      <c r="AO20" s="247"/>
      <c r="AP20" s="247"/>
      <c r="AQ20" s="247"/>
      <c r="AR20" s="247"/>
    </row>
    <row r="21" spans="1:44" x14ac:dyDescent="0.2">
      <c r="K21" s="51"/>
      <c r="L21" s="51"/>
      <c r="M21" s="51"/>
      <c r="N21" s="51"/>
      <c r="O21" s="51"/>
      <c r="P21" s="59" t="s">
        <v>124</v>
      </c>
      <c r="Q21" s="51"/>
      <c r="R21" s="51"/>
      <c r="S21" s="247"/>
      <c r="T21" s="247"/>
      <c r="U21" s="247"/>
      <c r="V21" s="247"/>
      <c r="W21" s="247"/>
      <c r="X21" s="247"/>
      <c r="Y21" s="247"/>
      <c r="Z21" s="247"/>
      <c r="AA21" s="247"/>
      <c r="AB21" s="247"/>
      <c r="AC21" s="247"/>
      <c r="AD21" s="247"/>
      <c r="AE21" s="247"/>
      <c r="AF21" s="247"/>
      <c r="AG21" s="247"/>
      <c r="AH21" s="247"/>
      <c r="AI21" s="247"/>
      <c r="AJ21" s="247"/>
      <c r="AK21" s="247"/>
      <c r="AL21" s="247"/>
      <c r="AM21" s="247"/>
      <c r="AN21" s="247"/>
      <c r="AO21" s="247"/>
      <c r="AP21" s="247"/>
      <c r="AQ21" s="247"/>
      <c r="AR21" s="247"/>
    </row>
    <row r="22" spans="1:44" x14ac:dyDescent="0.2">
      <c r="A22" s="19" t="s">
        <v>47</v>
      </c>
      <c r="B22" s="26"/>
      <c r="C22" s="19"/>
      <c r="D22" s="19"/>
      <c r="E22" s="30"/>
      <c r="F22" s="26"/>
      <c r="G22" s="26"/>
      <c r="H22" s="26"/>
      <c r="I22" s="36"/>
      <c r="J22" s="36"/>
      <c r="K22" s="51"/>
      <c r="L22" s="51"/>
      <c r="M22" s="51"/>
      <c r="N22" s="51"/>
      <c r="O22" s="51"/>
      <c r="P22" s="59" t="s">
        <v>14</v>
      </c>
      <c r="Q22" s="51"/>
      <c r="R22" s="51"/>
      <c r="S22" s="247"/>
      <c r="T22" s="247"/>
      <c r="U22" s="247"/>
      <c r="V22" s="247"/>
      <c r="W22" s="247"/>
      <c r="X22" s="247"/>
      <c r="Y22" s="247"/>
      <c r="Z22" s="247"/>
      <c r="AA22" s="247"/>
      <c r="AB22" s="247"/>
      <c r="AC22" s="247"/>
      <c r="AD22" s="247"/>
      <c r="AE22" s="247"/>
      <c r="AF22" s="247"/>
      <c r="AG22" s="247"/>
      <c r="AH22" s="247"/>
      <c r="AI22" s="247"/>
      <c r="AJ22" s="247"/>
      <c r="AK22" s="247"/>
      <c r="AL22" s="247"/>
      <c r="AM22" s="247"/>
      <c r="AN22" s="247"/>
      <c r="AO22" s="247"/>
      <c r="AP22" s="247"/>
      <c r="AQ22" s="247"/>
      <c r="AR22" s="247"/>
    </row>
    <row r="23" spans="1:44" x14ac:dyDescent="0.2">
      <c r="A23" s="19"/>
      <c r="B23" s="26"/>
      <c r="C23" s="81" t="s">
        <v>53</v>
      </c>
      <c r="D23" s="32">
        <f>VLOOKUP(C12,Data!E3:G12,3,FALSE)</f>
        <v>10</v>
      </c>
      <c r="E23" s="56">
        <f>I20+B25+G20</f>
        <v>11</v>
      </c>
      <c r="F23" s="26"/>
      <c r="G23" s="26"/>
      <c r="H23" s="26"/>
      <c r="I23" s="36"/>
      <c r="J23" s="36"/>
      <c r="K23" s="51"/>
      <c r="L23" s="56"/>
      <c r="M23" s="51"/>
      <c r="N23" s="51"/>
      <c r="O23" s="51"/>
      <c r="P23" s="59" t="s">
        <v>125</v>
      </c>
      <c r="Q23" s="51"/>
      <c r="R23" s="51"/>
      <c r="S23" s="247"/>
      <c r="T23" s="247"/>
      <c r="U23" s="247"/>
      <c r="V23" s="247"/>
      <c r="W23" s="247"/>
      <c r="X23" s="247"/>
      <c r="Y23" s="247"/>
      <c r="Z23" s="247"/>
      <c r="AA23" s="247"/>
      <c r="AB23" s="247"/>
      <c r="AC23" s="247"/>
      <c r="AD23" s="247"/>
      <c r="AE23" s="247"/>
      <c r="AF23" s="247"/>
      <c r="AG23" s="247"/>
      <c r="AH23" s="247"/>
      <c r="AI23" s="247"/>
      <c r="AJ23" s="247"/>
      <c r="AK23" s="247"/>
      <c r="AL23" s="247"/>
      <c r="AM23" s="247"/>
      <c r="AN23" s="247"/>
      <c r="AO23" s="247"/>
      <c r="AP23" s="247"/>
      <c r="AQ23" s="247"/>
      <c r="AR23" s="247"/>
    </row>
    <row r="24" spans="1:44" x14ac:dyDescent="0.2">
      <c r="A24" s="81" t="s">
        <v>7</v>
      </c>
      <c r="B24" s="82">
        <f>VLOOKUP(C13,Data!R3:W12,(IF(M6="Wband",2,(IF(M6="4k",3,(IF(M6="2k",4,(IF(M6="1k",5,6)))))))),FALSE)</f>
        <v>10</v>
      </c>
      <c r="C24" s="81" t="s">
        <v>54</v>
      </c>
      <c r="D24" s="32">
        <f>VLOOKUP(C12,Data!E3:G12,2,FALSE)</f>
        <v>25</v>
      </c>
      <c r="E24" s="26"/>
      <c r="F24" s="26"/>
      <c r="G24" s="26"/>
      <c r="H24" s="26"/>
      <c r="I24" s="36"/>
      <c r="J24" s="36"/>
      <c r="K24" s="51"/>
      <c r="L24" s="51"/>
      <c r="M24" s="51"/>
      <c r="N24" s="51"/>
      <c r="O24" s="51"/>
      <c r="P24" s="59" t="s">
        <v>37</v>
      </c>
      <c r="Q24" s="51"/>
      <c r="R24" s="51"/>
      <c r="S24" s="247"/>
      <c r="T24" s="247"/>
      <c r="U24" s="247"/>
      <c r="V24" s="247"/>
      <c r="W24" s="247"/>
      <c r="X24" s="247"/>
      <c r="Y24" s="247"/>
      <c r="Z24" s="247"/>
      <c r="AA24" s="247"/>
      <c r="AB24" s="247"/>
      <c r="AC24" s="247"/>
      <c r="AD24" s="247"/>
      <c r="AE24" s="247"/>
      <c r="AF24" s="247"/>
      <c r="AG24" s="247"/>
      <c r="AH24" s="247"/>
      <c r="AI24" s="247"/>
      <c r="AJ24" s="247"/>
      <c r="AK24" s="247"/>
      <c r="AL24" s="247"/>
      <c r="AM24" s="247"/>
      <c r="AN24" s="247"/>
      <c r="AO24" s="247"/>
      <c r="AP24" s="247"/>
      <c r="AQ24" s="247"/>
      <c r="AR24" s="247"/>
    </row>
    <row r="25" spans="1:44" x14ac:dyDescent="0.2">
      <c r="A25" s="81" t="s">
        <v>0</v>
      </c>
      <c r="B25" s="32">
        <f>VLOOKUP(C9,Data!A3:D10,(IF(C11="Phones",2,3)),FALSE)</f>
        <v>-9</v>
      </c>
      <c r="C25" s="81" t="s">
        <v>38</v>
      </c>
      <c r="D25" s="32">
        <f>C15</f>
        <v>0</v>
      </c>
      <c r="E25" s="26"/>
      <c r="F25" s="26"/>
      <c r="G25" s="26"/>
      <c r="H25" s="26"/>
      <c r="I25" s="36"/>
      <c r="J25" s="36"/>
      <c r="K25" s="51"/>
      <c r="L25" s="51"/>
      <c r="M25" s="51"/>
      <c r="N25" s="51"/>
      <c r="O25" s="51"/>
      <c r="P25" s="59" t="s">
        <v>48</v>
      </c>
      <c r="Q25" s="51"/>
      <c r="R25" s="51"/>
      <c r="S25" s="247"/>
      <c r="T25" s="247"/>
      <c r="U25" s="247"/>
      <c r="V25" s="247"/>
      <c r="W25" s="247"/>
      <c r="X25" s="247"/>
      <c r="Y25" s="247"/>
      <c r="Z25" s="247"/>
      <c r="AA25" s="247"/>
      <c r="AB25" s="247"/>
      <c r="AC25" s="247"/>
      <c r="AD25" s="247"/>
      <c r="AE25" s="247"/>
      <c r="AF25" s="247"/>
      <c r="AG25" s="247"/>
      <c r="AH25" s="247"/>
      <c r="AI25" s="247"/>
      <c r="AJ25" s="247"/>
      <c r="AK25" s="247"/>
      <c r="AL25" s="247"/>
      <c r="AM25" s="247"/>
      <c r="AN25" s="247"/>
      <c r="AO25" s="247"/>
      <c r="AP25" s="247"/>
      <c r="AQ25" s="247"/>
      <c r="AR25" s="247"/>
    </row>
    <row r="26" spans="1:44" x14ac:dyDescent="0.2">
      <c r="A26" s="81" t="s">
        <v>40</v>
      </c>
      <c r="B26" s="82">
        <f>VLOOKUP(C13,Data!X3:AC12,(IF(M6="Wband",2,(IF(M6="4k",3,(IF(M6="2k",4,(IF(M6="1k",5,6)))))))),FALSE)</f>
        <v>10</v>
      </c>
      <c r="C26" s="81" t="s">
        <v>56</v>
      </c>
      <c r="D26" s="32">
        <f>VLOOKUP(C12,Data!H3:K12,(IF(C10="Phones",2,(IF(C10="Insert",3,4)))),FALSE)</f>
        <v>54</v>
      </c>
      <c r="E26" s="31"/>
      <c r="F26" s="26"/>
      <c r="G26" s="26"/>
      <c r="H26" s="26"/>
      <c r="I26" s="36"/>
      <c r="J26" s="36"/>
      <c r="K26" s="247"/>
      <c r="L26" s="247"/>
      <c r="M26" s="247"/>
      <c r="N26" s="247"/>
      <c r="O26" s="247"/>
      <c r="P26" s="247"/>
      <c r="Q26" s="247"/>
      <c r="R26" s="247"/>
      <c r="S26" s="247"/>
      <c r="T26" s="247"/>
      <c r="U26" s="247"/>
      <c r="V26" s="247"/>
      <c r="W26" s="247"/>
      <c r="X26" s="247"/>
      <c r="Y26" s="247"/>
      <c r="Z26" s="247"/>
      <c r="AA26" s="247"/>
      <c r="AB26" s="247"/>
      <c r="AC26" s="247"/>
      <c r="AD26" s="247"/>
      <c r="AE26" s="247"/>
      <c r="AF26" s="247"/>
      <c r="AG26" s="247"/>
      <c r="AH26" s="247"/>
      <c r="AI26" s="247"/>
      <c r="AJ26" s="247"/>
      <c r="AK26" s="247"/>
      <c r="AL26" s="247"/>
      <c r="AM26" s="247"/>
      <c r="AN26" s="247"/>
      <c r="AO26" s="247"/>
      <c r="AP26" s="247"/>
      <c r="AQ26" s="247"/>
      <c r="AR26" s="247"/>
    </row>
    <row r="27" spans="1:44" x14ac:dyDescent="0.2">
      <c r="A27" s="81" t="s">
        <v>42</v>
      </c>
      <c r="B27" s="32">
        <f>C17+C20-(VLOOKUP(C12,Data!AG3:AH12,2,FALSE))</f>
        <v>35</v>
      </c>
      <c r="C27" s="81" t="s">
        <v>57</v>
      </c>
      <c r="D27" s="32">
        <f>VLOOKUP(C12,Data!H3:K12,(IF(C11="Phones",2,3)),FALSE)</f>
        <v>54</v>
      </c>
      <c r="E27" s="26"/>
      <c r="F27" s="26"/>
      <c r="G27" s="26"/>
      <c r="H27" s="26"/>
      <c r="I27" s="34"/>
      <c r="K27" s="247"/>
      <c r="L27" s="247"/>
      <c r="M27" s="247"/>
      <c r="N27" s="247"/>
      <c r="O27" s="247"/>
      <c r="P27" s="247"/>
      <c r="Q27" s="247"/>
      <c r="R27" s="247"/>
      <c r="S27" s="247"/>
      <c r="T27" s="247"/>
      <c r="U27" s="247"/>
      <c r="V27" s="247"/>
      <c r="W27" s="247"/>
      <c r="X27" s="247"/>
      <c r="Y27" s="247"/>
      <c r="Z27" s="247"/>
      <c r="AA27" s="247"/>
      <c r="AB27" s="247"/>
      <c r="AC27" s="247"/>
      <c r="AD27" s="247"/>
      <c r="AE27" s="247"/>
      <c r="AF27" s="247"/>
      <c r="AG27" s="247"/>
      <c r="AH27" s="247"/>
      <c r="AI27" s="247"/>
      <c r="AJ27" s="247"/>
      <c r="AK27" s="247"/>
      <c r="AL27" s="247"/>
      <c r="AM27" s="247"/>
      <c r="AN27" s="247"/>
      <c r="AO27" s="247"/>
      <c r="AP27" s="247"/>
      <c r="AQ27" s="247"/>
      <c r="AR27" s="247"/>
    </row>
    <row r="28" spans="1:44" x14ac:dyDescent="0.2">
      <c r="A28" s="81" t="s">
        <v>41</v>
      </c>
      <c r="B28" s="32">
        <f>B27-F20</f>
        <v>-39</v>
      </c>
      <c r="C28" s="81" t="s">
        <v>58</v>
      </c>
      <c r="D28" s="32">
        <f>VLOOKUP(C13,Data!L3:Q12,(IF(M6="Wband",2,(IF(M6="4k",3,(IF(M6="2k",4,(IF(M6="1k",5,6)))))))),FALSE)</f>
        <v>20</v>
      </c>
      <c r="E28" s="26"/>
      <c r="F28" s="26"/>
      <c r="G28" s="26"/>
      <c r="H28" s="26"/>
      <c r="K28" s="247"/>
      <c r="L28" s="247"/>
      <c r="M28" s="247"/>
      <c r="N28" s="247"/>
      <c r="O28" s="247"/>
      <c r="P28" s="247"/>
      <c r="Q28" s="247"/>
      <c r="R28" s="247"/>
      <c r="S28" s="247"/>
      <c r="T28" s="247"/>
      <c r="U28" s="247"/>
      <c r="V28" s="247"/>
      <c r="W28" s="247"/>
      <c r="X28" s="247"/>
      <c r="Y28" s="247"/>
      <c r="Z28" s="247"/>
      <c r="AA28" s="247"/>
      <c r="AB28" s="247"/>
      <c r="AC28" s="247"/>
      <c r="AD28" s="247"/>
      <c r="AE28" s="247"/>
      <c r="AF28" s="247"/>
      <c r="AG28" s="247"/>
      <c r="AH28" s="247"/>
      <c r="AI28" s="247"/>
      <c r="AJ28" s="247"/>
      <c r="AK28" s="247"/>
      <c r="AL28" s="247"/>
      <c r="AM28" s="247"/>
      <c r="AN28" s="247"/>
      <c r="AO28" s="247"/>
      <c r="AP28" s="247"/>
      <c r="AQ28" s="247"/>
      <c r="AR28" s="247"/>
    </row>
    <row r="29" spans="1:44" x14ac:dyDescent="0.2">
      <c r="A29" s="81"/>
      <c r="B29" s="83"/>
      <c r="C29" s="81" t="s">
        <v>45</v>
      </c>
      <c r="D29" s="82">
        <f>(I20+B25+G20-D27-D28)</f>
        <v>-63</v>
      </c>
      <c r="E29" s="26"/>
      <c r="F29" s="26"/>
      <c r="G29" s="26"/>
      <c r="H29" s="26"/>
      <c r="K29" s="247"/>
      <c r="L29" s="247"/>
      <c r="M29" s="247"/>
      <c r="N29" s="247"/>
      <c r="O29" s="247"/>
      <c r="P29" s="247"/>
      <c r="Q29" s="247"/>
      <c r="R29" s="247"/>
      <c r="S29" s="247"/>
      <c r="T29" s="247"/>
      <c r="U29" s="247"/>
      <c r="V29" s="247"/>
      <c r="W29" s="247"/>
      <c r="X29" s="247"/>
      <c r="Y29" s="247"/>
      <c r="Z29" s="247"/>
      <c r="AA29" s="247"/>
      <c r="AB29" s="247"/>
      <c r="AC29" s="247"/>
      <c r="AD29" s="247"/>
      <c r="AE29" s="247"/>
      <c r="AF29" s="247"/>
      <c r="AG29" s="247"/>
      <c r="AH29" s="247"/>
      <c r="AI29" s="247"/>
      <c r="AJ29" s="247"/>
      <c r="AK29" s="247"/>
      <c r="AL29" s="247"/>
      <c r="AM29" s="247"/>
      <c r="AN29" s="247"/>
      <c r="AO29" s="247"/>
      <c r="AP29" s="247"/>
      <c r="AQ29" s="247"/>
      <c r="AR29" s="247"/>
    </row>
    <row r="30" spans="1:44" x14ac:dyDescent="0.2">
      <c r="A30" s="81"/>
      <c r="B30" s="83"/>
      <c r="C30" s="33"/>
      <c r="D30" s="33"/>
      <c r="E30" s="26"/>
      <c r="F30" s="26"/>
      <c r="G30" s="26"/>
      <c r="H30" s="26"/>
      <c r="K30" s="247"/>
      <c r="L30" s="247"/>
      <c r="M30" s="247"/>
      <c r="N30" s="247"/>
      <c r="O30" s="247"/>
      <c r="P30" s="247"/>
      <c r="Q30" s="247"/>
      <c r="R30" s="247"/>
      <c r="S30" s="247"/>
      <c r="T30" s="247"/>
      <c r="U30" s="247"/>
      <c r="V30" s="247"/>
      <c r="W30" s="247"/>
      <c r="X30" s="247"/>
      <c r="Y30" s="247"/>
      <c r="Z30" s="247"/>
      <c r="AA30" s="247"/>
      <c r="AB30" s="247"/>
      <c r="AC30" s="247"/>
      <c r="AD30" s="247"/>
      <c r="AE30" s="247"/>
      <c r="AF30" s="247"/>
      <c r="AG30" s="247"/>
      <c r="AH30" s="247"/>
      <c r="AI30" s="247"/>
      <c r="AJ30" s="247"/>
      <c r="AK30" s="247"/>
      <c r="AL30" s="247"/>
      <c r="AM30" s="247"/>
      <c r="AN30" s="247"/>
      <c r="AO30" s="247"/>
      <c r="AP30" s="247"/>
      <c r="AQ30" s="247"/>
      <c r="AR30" s="247"/>
    </row>
    <row r="31" spans="1:44" x14ac:dyDescent="0.2">
      <c r="A31" s="49" t="s">
        <v>18</v>
      </c>
    </row>
    <row r="32" spans="1:44" x14ac:dyDescent="0.2">
      <c r="A32" s="47"/>
    </row>
    <row r="33" spans="1:1" x14ac:dyDescent="0.2">
      <c r="A33" s="47"/>
    </row>
    <row r="34" spans="1:1" x14ac:dyDescent="0.2">
      <c r="A34" s="47"/>
    </row>
  </sheetData>
  <sheetProtection algorithmName="SHA-512" hashValue="TxVy7bH2Gvuumlw7aAZyP1mL8W2kyyA8Mz345UrqqEcJ4RPCmeKQuvjtytIrxtkg8Y6mhD/iOtgubBFOuTJ+0w==" saltValue="vSJ4u/diTXW5ItA1xeMdig==" spinCount="100000" sheet="1" objects="1" scenarios="1" selectLockedCells="1" selectUnlockedCells="1"/>
  <mergeCells count="25">
    <mergeCell ref="A17:B17"/>
    <mergeCell ref="C17:D17"/>
    <mergeCell ref="E17:F17"/>
    <mergeCell ref="I17:J17"/>
    <mergeCell ref="A15:B15"/>
    <mergeCell ref="C15:D15"/>
    <mergeCell ref="G15:H15"/>
    <mergeCell ref="I15:J15"/>
    <mergeCell ref="A16:B16"/>
    <mergeCell ref="C16:D16"/>
    <mergeCell ref="A14:B14"/>
    <mergeCell ref="C14:D14"/>
    <mergeCell ref="G8:J8"/>
    <mergeCell ref="A9:B9"/>
    <mergeCell ref="C9:D9"/>
    <mergeCell ref="A10:B10"/>
    <mergeCell ref="C10:D10"/>
    <mergeCell ref="G10:J11"/>
    <mergeCell ref="A11:B11"/>
    <mergeCell ref="C11:D11"/>
    <mergeCell ref="A12:B12"/>
    <mergeCell ref="C12:D12"/>
    <mergeCell ref="G12:J13"/>
    <mergeCell ref="A13:B13"/>
    <mergeCell ref="C13:D13"/>
  </mergeCells>
  <conditionalFormatting sqref="C17:D17">
    <cfRule type="expression" dxfId="43" priority="10" stopIfTrue="1">
      <formula>IF(C13&gt;"&gt;24",C17&gt;G9,FALSE)</formula>
    </cfRule>
  </conditionalFormatting>
  <conditionalFormatting sqref="G15:H15">
    <cfRule type="expression" dxfId="42" priority="3" stopIfTrue="1">
      <formula>IF(C13&gt;"&gt;24",C17&gt;G9,FALSE)</formula>
    </cfRule>
  </conditionalFormatting>
  <conditionalFormatting sqref="G16:H16">
    <cfRule type="expression" dxfId="41" priority="4" stopIfTrue="1">
      <formula>IF(C16&gt;"&gt;24",C18&gt;G10,FALSE)</formula>
    </cfRule>
  </conditionalFormatting>
  <conditionalFormatting sqref="G8:J8">
    <cfRule type="expression" dxfId="40" priority="2" stopIfTrue="1">
      <formula>IF(E23&gt;100,TRUE,FALSE)</formula>
    </cfRule>
  </conditionalFormatting>
  <conditionalFormatting sqref="G10:J11">
    <cfRule type="expression" dxfId="39" priority="8" stopIfTrue="1">
      <formula>D29&gt;(C17+C20-E14+D23-10)</formula>
    </cfRule>
    <cfRule type="expression" dxfId="38" priority="9" stopIfTrue="1">
      <formula>D29&gt;(C17+C20-E14+D23-20)</formula>
    </cfRule>
  </conditionalFormatting>
  <conditionalFormatting sqref="G12:J14">
    <cfRule type="expression" dxfId="37" priority="7" stopIfTrue="1">
      <formula>IF(C13&gt;"&gt;24",C17&gt;G9,FALSE)</formula>
    </cfRule>
  </conditionalFormatting>
  <conditionalFormatting sqref="I15:J15">
    <cfRule type="expression" dxfId="36" priority="5" stopIfTrue="1">
      <formula>IF(C13&gt;"&gt;24",C17&gt;G9,FALSE)</formula>
    </cfRule>
  </conditionalFormatting>
  <conditionalFormatting sqref="I16:J16">
    <cfRule type="expression" dxfId="35" priority="6" stopIfTrue="1">
      <formula>IF(C16&gt;"&gt;24",C18&gt;G10,FALSE)</formula>
    </cfRule>
  </conditionalFormatting>
  <conditionalFormatting sqref="I17:J17">
    <cfRule type="cellIs" dxfId="34" priority="11" stopIfTrue="1" operator="equal">
      <formula>"Masking Needed"</formula>
    </cfRule>
    <cfRule type="cellIs" dxfId="33" priority="12" stopIfTrue="1" operator="equal">
      <formula>"No need to mask"</formula>
    </cfRule>
  </conditionalFormatting>
  <dataValidations count="2">
    <dataValidation type="list" allowBlank="1" showInputMessage="1" showErrorMessage="1" sqref="C12:D12" xr:uid="{00000000-0002-0000-0100-000000000000}">
      <formula1>$K$7:$K$16</formula1>
    </dataValidation>
    <dataValidation type="list" allowBlank="1" showInputMessage="1" showErrorMessage="1" sqref="C9:D9" xr:uid="{00000000-0002-0000-0100-000001000000}">
      <formula1>P19:P26</formula1>
    </dataValidation>
  </dataValidations>
  <pageMargins left="0.75" right="0.75" top="1" bottom="1" header="0.5" footer="0.5"/>
  <pageSetup paperSize="9" orientation="portrait"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34"/>
  <sheetViews>
    <sheetView showGridLines="0" showRowColHeaders="0" zoomScale="130" zoomScaleNormal="130" workbookViewId="0">
      <selection activeCell="C13" sqref="C13:D13"/>
    </sheetView>
  </sheetViews>
  <sheetFormatPr defaultRowHeight="12.75" x14ac:dyDescent="0.2"/>
  <cols>
    <col min="1" max="1" width="16.7109375" customWidth="1"/>
    <col min="2" max="2" width="14.28515625" customWidth="1"/>
    <col min="3" max="3" width="11.28515625" customWidth="1"/>
    <col min="4" max="4" width="8.7109375" customWidth="1"/>
    <col min="5" max="6" width="7.5703125" customWidth="1"/>
    <col min="7" max="7" width="7.7109375" customWidth="1"/>
    <col min="8" max="9" width="8.28515625" customWidth="1"/>
    <col min="10" max="10" width="8.140625" customWidth="1"/>
    <col min="11" max="11" width="12.7109375" bestFit="1" customWidth="1"/>
  </cols>
  <sheetData>
    <row r="1" spans="1:16" ht="24" thickBot="1" x14ac:dyDescent="0.35">
      <c r="A1" s="111"/>
      <c r="B1" s="97" t="s">
        <v>120</v>
      </c>
      <c r="C1" s="111"/>
      <c r="D1" s="96"/>
      <c r="E1" s="95"/>
      <c r="F1" s="95"/>
      <c r="G1" s="95"/>
      <c r="H1" s="95"/>
      <c r="I1" s="95"/>
      <c r="J1" s="112"/>
      <c r="L1" s="57"/>
    </row>
    <row r="2" spans="1:16" ht="12.75" hidden="1" customHeight="1" x14ac:dyDescent="0.2">
      <c r="A2" s="15"/>
      <c r="K2" s="51">
        <f>IF(K3=TRUE,1,0)</f>
        <v>0</v>
      </c>
    </row>
    <row r="3" spans="1:16" ht="12.75" hidden="1" customHeight="1" x14ac:dyDescent="0.2">
      <c r="K3" s="51" t="b">
        <f>IF(C13&gt;"&gt;104",C17&gt;G9,1)</f>
        <v>0</v>
      </c>
      <c r="P3" s="18" t="s">
        <v>25</v>
      </c>
    </row>
    <row r="4" spans="1:16" ht="12.75" hidden="1" customHeight="1" x14ac:dyDescent="0.2">
      <c r="A4" s="58"/>
      <c r="P4" s="18"/>
    </row>
    <row r="5" spans="1:16" ht="12.75" customHeight="1" x14ac:dyDescent="0.2">
      <c r="A5" s="58"/>
      <c r="P5" s="18"/>
    </row>
    <row r="6" spans="1:16" ht="12.75" customHeight="1" x14ac:dyDescent="0.2">
      <c r="A6" s="62" t="s">
        <v>77</v>
      </c>
      <c r="K6" s="50" t="s">
        <v>75</v>
      </c>
      <c r="L6" s="50" t="s">
        <v>74</v>
      </c>
      <c r="M6" s="51" t="str">
        <f>VLOOKUP(C12,K7:L16,2,FALSE)</f>
        <v>2k</v>
      </c>
      <c r="P6" s="18" t="s">
        <v>26</v>
      </c>
    </row>
    <row r="7" spans="1:16" ht="12.75" customHeight="1" x14ac:dyDescent="0.2">
      <c r="A7" s="62" t="s">
        <v>95</v>
      </c>
      <c r="K7" s="50" t="s">
        <v>1</v>
      </c>
      <c r="L7" s="50" t="s">
        <v>73</v>
      </c>
      <c r="M7" s="51"/>
      <c r="P7" s="18" t="s">
        <v>27</v>
      </c>
    </row>
    <row r="8" spans="1:16" ht="12.75" customHeight="1" thickBot="1" x14ac:dyDescent="0.25">
      <c r="G8" s="196" t="s">
        <v>92</v>
      </c>
      <c r="H8" s="196"/>
      <c r="I8" s="196"/>
      <c r="J8" s="196"/>
      <c r="K8" s="50" t="s">
        <v>126</v>
      </c>
      <c r="L8" s="50" t="s">
        <v>70</v>
      </c>
      <c r="M8" s="51"/>
      <c r="P8" s="18" t="s">
        <v>28</v>
      </c>
    </row>
    <row r="9" spans="1:16" ht="12.75" customHeight="1" x14ac:dyDescent="0.2">
      <c r="A9" s="197" t="s">
        <v>91</v>
      </c>
      <c r="B9" s="198"/>
      <c r="C9" s="199" t="str">
        <f>Calculator!$C$8</f>
        <v>GSI Audera</v>
      </c>
      <c r="D9" s="200"/>
      <c r="E9" s="1"/>
      <c r="G9" s="21">
        <f>IF(C10&gt;"BC",VLOOKUP(C12,Data!AD3:AF12,(IF(C10="Phones",2,3)),FALSE),"")</f>
        <v>100</v>
      </c>
      <c r="H9" s="21">
        <f>IF(D29&gt;(C17+C20-E14+D23-10),1,0)</f>
        <v>0</v>
      </c>
      <c r="I9" s="22"/>
      <c r="J9" s="21"/>
      <c r="K9" s="50" t="s">
        <v>127</v>
      </c>
      <c r="L9" s="50" t="s">
        <v>71</v>
      </c>
      <c r="M9" s="51"/>
      <c r="P9" s="18" t="s">
        <v>29</v>
      </c>
    </row>
    <row r="10" spans="1:16" ht="12.75" customHeight="1" x14ac:dyDescent="0.2">
      <c r="A10" s="201" t="s">
        <v>90</v>
      </c>
      <c r="B10" s="202"/>
      <c r="C10" s="203" t="str">
        <f>Calculator!C10</f>
        <v>Insert</v>
      </c>
      <c r="D10" s="204"/>
      <c r="E10" s="1"/>
      <c r="G10" s="205" t="str">
        <f>CONCATENATE("Warning! There is a ",H9," risk of cross-masking")</f>
        <v>Warning! There is a 0 risk of cross-masking</v>
      </c>
      <c r="H10" s="205"/>
      <c r="I10" s="205"/>
      <c r="J10" s="205"/>
      <c r="K10" s="50" t="s">
        <v>128</v>
      </c>
      <c r="L10" s="50" t="s">
        <v>72</v>
      </c>
      <c r="M10" s="51"/>
      <c r="P10" s="18" t="s">
        <v>30</v>
      </c>
    </row>
    <row r="11" spans="1:16" ht="12.75" customHeight="1" x14ac:dyDescent="0.2">
      <c r="A11" s="201" t="s">
        <v>89</v>
      </c>
      <c r="B11" s="202"/>
      <c r="C11" s="203" t="str">
        <f>Calculator!$C$11</f>
        <v>Insert</v>
      </c>
      <c r="D11" s="204"/>
      <c r="E11" s="1"/>
      <c r="G11" s="205"/>
      <c r="H11" s="205"/>
      <c r="I11" s="205"/>
      <c r="J11" s="205"/>
      <c r="K11" s="50" t="s">
        <v>129</v>
      </c>
      <c r="L11" s="50">
        <v>500</v>
      </c>
      <c r="M11" s="51"/>
      <c r="P11" s="18" t="s">
        <v>31</v>
      </c>
    </row>
    <row r="12" spans="1:16" ht="12.75" customHeight="1" x14ac:dyDescent="0.2">
      <c r="A12" s="201" t="s">
        <v>88</v>
      </c>
      <c r="B12" s="202"/>
      <c r="C12" s="203" t="s">
        <v>127</v>
      </c>
      <c r="D12" s="204"/>
      <c r="E12" s="1"/>
      <c r="G12" s="206" t="s">
        <v>93</v>
      </c>
      <c r="H12" s="206"/>
      <c r="I12" s="206"/>
      <c r="J12" s="206"/>
      <c r="K12" s="50" t="s">
        <v>78</v>
      </c>
      <c r="L12" s="50" t="s">
        <v>76</v>
      </c>
      <c r="M12" s="51"/>
      <c r="P12" s="44" t="s">
        <v>69</v>
      </c>
    </row>
    <row r="13" spans="1:16" ht="12.75" customHeight="1" x14ac:dyDescent="0.25">
      <c r="A13" s="192" t="s">
        <v>87</v>
      </c>
      <c r="B13" s="193"/>
      <c r="C13" s="194" t="str">
        <f>Calculator!$C$13</f>
        <v>6 to 8</v>
      </c>
      <c r="D13" s="195"/>
      <c r="E13" s="1"/>
      <c r="F13" s="63"/>
      <c r="G13" s="206"/>
      <c r="H13" s="206"/>
      <c r="I13" s="206"/>
      <c r="J13" s="206"/>
      <c r="K13" s="50" t="s">
        <v>79</v>
      </c>
      <c r="L13" s="50" t="s">
        <v>70</v>
      </c>
      <c r="M13" s="51"/>
      <c r="P13" s="44" t="s">
        <v>94</v>
      </c>
    </row>
    <row r="14" spans="1:16" ht="12.75" customHeight="1" x14ac:dyDescent="0.25">
      <c r="A14" s="192" t="s">
        <v>86</v>
      </c>
      <c r="B14" s="193"/>
      <c r="C14" s="194">
        <f>Calculator!$C$14</f>
        <v>0</v>
      </c>
      <c r="D14" s="195"/>
      <c r="E14" s="28">
        <f>IF(C10&gt;"BC",C14,0)</f>
        <v>0</v>
      </c>
      <c r="F14" s="63"/>
      <c r="G14" s="64"/>
      <c r="H14" s="64"/>
      <c r="I14" s="64"/>
      <c r="J14" s="64"/>
      <c r="K14" s="50" t="s">
        <v>80</v>
      </c>
      <c r="L14" s="50" t="s">
        <v>71</v>
      </c>
      <c r="M14" s="51"/>
      <c r="P14" s="44" t="s">
        <v>68</v>
      </c>
    </row>
    <row r="15" spans="1:16" ht="12.75" customHeight="1" x14ac:dyDescent="0.25">
      <c r="A15" s="201" t="s">
        <v>85</v>
      </c>
      <c r="B15" s="202"/>
      <c r="C15" s="203">
        <f>Calculator!$C$15</f>
        <v>0</v>
      </c>
      <c r="D15" s="204"/>
      <c r="E15" s="1"/>
      <c r="F15" s="63"/>
      <c r="G15" s="215">
        <f>G9</f>
        <v>100</v>
      </c>
      <c r="H15" s="215"/>
      <c r="I15" s="216" t="s">
        <v>23</v>
      </c>
      <c r="J15" s="216"/>
      <c r="K15" s="50" t="s">
        <v>81</v>
      </c>
      <c r="L15" s="50" t="s">
        <v>72</v>
      </c>
      <c r="M15" s="51"/>
      <c r="P15" s="18"/>
    </row>
    <row r="16" spans="1:16" ht="12.75" customHeight="1" thickBot="1" x14ac:dyDescent="0.3">
      <c r="A16" s="192" t="s">
        <v>84</v>
      </c>
      <c r="B16" s="193"/>
      <c r="C16" s="194">
        <f>Calculator!$C$16</f>
        <v>0</v>
      </c>
      <c r="D16" s="195"/>
      <c r="E16" s="1"/>
      <c r="F16" s="63"/>
      <c r="G16" s="65"/>
      <c r="H16" s="65"/>
      <c r="I16" s="66">
        <f>(B28+2-C16)</f>
        <v>-17</v>
      </c>
      <c r="J16" s="67">
        <f>(D29-(C17+C20-E14+D23-20))</f>
        <v>-69</v>
      </c>
      <c r="K16" s="50" t="s">
        <v>82</v>
      </c>
      <c r="L16" s="50">
        <v>500</v>
      </c>
      <c r="M16" s="51"/>
      <c r="P16" s="18"/>
    </row>
    <row r="17" spans="1:16" ht="12.75" customHeight="1" thickBot="1" x14ac:dyDescent="0.25">
      <c r="A17" s="207" t="s">
        <v>19</v>
      </c>
      <c r="B17" s="208"/>
      <c r="C17" s="209">
        <f>IF(Calculator!C9="Various", Calculator!G18, Calculator!$C$17)</f>
        <v>50</v>
      </c>
      <c r="D17" s="210"/>
      <c r="E17" s="211">
        <f>B27</f>
        <v>35</v>
      </c>
      <c r="F17" s="212"/>
      <c r="G17" s="68" t="s">
        <v>64</v>
      </c>
      <c r="I17" s="213" t="str">
        <f>IF((2+B28)&gt;C16,"Masking Needed","No need to mask")</f>
        <v>No need to mask</v>
      </c>
      <c r="J17" s="214"/>
    </row>
    <row r="18" spans="1:16" ht="12.75" customHeight="1" thickBot="1" x14ac:dyDescent="0.25">
      <c r="F18" s="69"/>
      <c r="I18" s="51">
        <f>IF(I17="Masking Needed", 1,0)</f>
        <v>0</v>
      </c>
      <c r="P18" s="59" t="s">
        <v>123</v>
      </c>
    </row>
    <row r="19" spans="1:16" ht="15" customHeight="1" x14ac:dyDescent="0.2">
      <c r="A19" s="70" t="s">
        <v>2</v>
      </c>
      <c r="B19" s="71" t="s">
        <v>8</v>
      </c>
      <c r="C19" s="72" t="s">
        <v>9</v>
      </c>
      <c r="D19" s="72" t="s">
        <v>52</v>
      </c>
      <c r="E19" s="72" t="s">
        <v>39</v>
      </c>
      <c r="F19" s="72" t="s">
        <v>55</v>
      </c>
      <c r="G19" s="72" t="s">
        <v>6</v>
      </c>
      <c r="H19" s="73" t="s">
        <v>4</v>
      </c>
      <c r="I19" s="74" t="s">
        <v>3</v>
      </c>
      <c r="J19" s="75" t="s">
        <v>34</v>
      </c>
      <c r="P19" s="59" t="s">
        <v>35</v>
      </c>
    </row>
    <row r="20" spans="1:16" ht="15.75" customHeight="1" thickBot="1" x14ac:dyDescent="0.35">
      <c r="A20" s="76" t="s">
        <v>43</v>
      </c>
      <c r="B20" s="77">
        <f>C17</f>
        <v>50</v>
      </c>
      <c r="C20" s="77">
        <f>IF(C10="BC",B26,(IF(C10="Insert",B24,0)))</f>
        <v>5</v>
      </c>
      <c r="D20" s="77">
        <f>D24</f>
        <v>26</v>
      </c>
      <c r="E20" s="77">
        <f>+C15</f>
        <v>0</v>
      </c>
      <c r="F20" s="77">
        <f>(D26+D28)</f>
        <v>54</v>
      </c>
      <c r="G20" s="78">
        <f>IF(C11="Insert",B24,0)</f>
        <v>5</v>
      </c>
      <c r="H20" s="79">
        <f>B25</f>
        <v>-9</v>
      </c>
      <c r="I20" s="80">
        <f>5*(ROUND((B20+C20+D20+E20-F20-G20-H20)/5,0))</f>
        <v>30</v>
      </c>
      <c r="J20" s="20">
        <f>IF((I20-C17)&gt;0,"+" &amp; (I20-C17),(I20-C17))</f>
        <v>-20</v>
      </c>
      <c r="P20" s="59" t="s">
        <v>36</v>
      </c>
    </row>
    <row r="21" spans="1:16" x14ac:dyDescent="0.2">
      <c r="P21" s="59" t="s">
        <v>124</v>
      </c>
    </row>
    <row r="22" spans="1:16" x14ac:dyDescent="0.2">
      <c r="A22" s="19" t="s">
        <v>47</v>
      </c>
      <c r="B22" s="26"/>
      <c r="C22" s="19"/>
      <c r="D22" s="19"/>
      <c r="E22" s="30"/>
      <c r="F22" s="26"/>
      <c r="G22" s="26"/>
      <c r="H22" s="26"/>
      <c r="I22" s="36"/>
      <c r="J22" s="36"/>
      <c r="P22" s="59" t="s">
        <v>14</v>
      </c>
    </row>
    <row r="23" spans="1:16" x14ac:dyDescent="0.2">
      <c r="A23" s="19"/>
      <c r="B23" s="26"/>
      <c r="C23" s="81" t="s">
        <v>53</v>
      </c>
      <c r="D23" s="32">
        <f>VLOOKUP(C12,Data!E3:G12,3,FALSE)</f>
        <v>6</v>
      </c>
      <c r="E23" s="56">
        <f>I20+B25+G20</f>
        <v>26</v>
      </c>
      <c r="F23" s="26"/>
      <c r="G23" s="26"/>
      <c r="H23" s="26"/>
      <c r="I23" s="36"/>
      <c r="J23" s="36"/>
      <c r="L23" s="55"/>
      <c r="P23" s="59" t="s">
        <v>125</v>
      </c>
    </row>
    <row r="24" spans="1:16" x14ac:dyDescent="0.2">
      <c r="A24" s="81" t="s">
        <v>7</v>
      </c>
      <c r="B24" s="82">
        <f>VLOOKUP(C13,Data!R3:W12,(IF(M6="Wband",2,(IF(M6="4k",3,(IF(M6="2k",4,(IF(M6="1k",5,6)))))))),FALSE)</f>
        <v>5</v>
      </c>
      <c r="C24" s="81" t="s">
        <v>54</v>
      </c>
      <c r="D24" s="32">
        <f>VLOOKUP(C12,Data!E3:G12,2,FALSE)</f>
        <v>26</v>
      </c>
      <c r="E24" s="26"/>
      <c r="F24" s="26"/>
      <c r="G24" s="26"/>
      <c r="H24" s="26"/>
      <c r="I24" s="36"/>
      <c r="J24" s="36"/>
      <c r="P24" s="59" t="s">
        <v>37</v>
      </c>
    </row>
    <row r="25" spans="1:16" x14ac:dyDescent="0.2">
      <c r="A25" s="81" t="s">
        <v>0</v>
      </c>
      <c r="B25" s="32">
        <f>VLOOKUP(C9,Data!A3:D10,(IF(C11="Phones",2,3)),FALSE)</f>
        <v>-9</v>
      </c>
      <c r="C25" s="81" t="s">
        <v>38</v>
      </c>
      <c r="D25" s="32">
        <f>C15</f>
        <v>0</v>
      </c>
      <c r="E25" s="26"/>
      <c r="F25" s="26"/>
      <c r="G25" s="26"/>
      <c r="H25" s="26"/>
      <c r="I25" s="36"/>
      <c r="J25" s="36"/>
      <c r="P25" s="59" t="s">
        <v>48</v>
      </c>
    </row>
    <row r="26" spans="1:16" x14ac:dyDescent="0.2">
      <c r="A26" s="81" t="s">
        <v>40</v>
      </c>
      <c r="B26" s="82">
        <f>VLOOKUP(C13,Data!X3:AC12,(IF(M6="Wband",2,(IF(M6="4k",3,(IF(M6="2k",4,(IF(M6="1k",5,6)))))))),FALSE)</f>
        <v>5</v>
      </c>
      <c r="C26" s="81" t="s">
        <v>56</v>
      </c>
      <c r="D26" s="32">
        <f>VLOOKUP(C12,Data!H3:K12,(IF(C10="Phones",2,(IF(C10="Insert",3,4)))),FALSE)</f>
        <v>44</v>
      </c>
      <c r="E26" s="31"/>
      <c r="F26" s="26"/>
      <c r="G26" s="26"/>
      <c r="H26" s="26"/>
      <c r="I26" s="36"/>
      <c r="J26" s="36"/>
    </row>
    <row r="27" spans="1:16" x14ac:dyDescent="0.2">
      <c r="A27" s="81" t="s">
        <v>42</v>
      </c>
      <c r="B27" s="32">
        <f>C17+C20-(VLOOKUP(C12,Data!AG3:AH12,2,FALSE))</f>
        <v>35</v>
      </c>
      <c r="C27" s="81" t="s">
        <v>57</v>
      </c>
      <c r="D27" s="32">
        <f>VLOOKUP(C12,Data!H3:K12,(IF(C11="Phones",2,3)),FALSE)</f>
        <v>44</v>
      </c>
      <c r="E27" s="26"/>
      <c r="F27" s="26"/>
      <c r="G27" s="26"/>
      <c r="H27" s="26"/>
      <c r="I27" s="34"/>
    </row>
    <row r="28" spans="1:16" x14ac:dyDescent="0.2">
      <c r="A28" s="81" t="s">
        <v>41</v>
      </c>
      <c r="B28" s="32">
        <f>B27-F20</f>
        <v>-19</v>
      </c>
      <c r="C28" s="81" t="s">
        <v>58</v>
      </c>
      <c r="D28" s="32">
        <f>VLOOKUP(C13,Data!L3:Q12,(IF(M6="Wband",2,(IF(M6="4k",3,(IF(M6="2k",4,(IF(M6="1k",5,6)))))))),FALSE)</f>
        <v>10</v>
      </c>
      <c r="E28" s="26"/>
      <c r="F28" s="26"/>
      <c r="G28" s="26"/>
      <c r="H28" s="26"/>
    </row>
    <row r="29" spans="1:16" x14ac:dyDescent="0.2">
      <c r="A29" s="81"/>
      <c r="B29" s="83"/>
      <c r="C29" s="81" t="s">
        <v>45</v>
      </c>
      <c r="D29" s="82">
        <f>(I20+B25+G20-D27-D28)</f>
        <v>-28</v>
      </c>
      <c r="E29" s="26"/>
      <c r="F29" s="26"/>
      <c r="G29" s="26"/>
      <c r="H29" s="26"/>
    </row>
    <row r="30" spans="1:16" x14ac:dyDescent="0.2">
      <c r="A30" s="81"/>
      <c r="B30" s="83"/>
      <c r="C30" s="33"/>
      <c r="D30" s="33"/>
      <c r="E30" s="26"/>
      <c r="F30" s="26"/>
      <c r="G30" s="26"/>
      <c r="H30" s="26"/>
    </row>
    <row r="31" spans="1:16" x14ac:dyDescent="0.2">
      <c r="A31" s="49" t="s">
        <v>18</v>
      </c>
    </row>
    <row r="32" spans="1:16" x14ac:dyDescent="0.2">
      <c r="A32" s="47"/>
    </row>
    <row r="33" spans="1:1" x14ac:dyDescent="0.2">
      <c r="A33" s="47"/>
    </row>
    <row r="34" spans="1:1" x14ac:dyDescent="0.2">
      <c r="A34" s="47"/>
    </row>
  </sheetData>
  <sheetProtection algorithmName="SHA-512" hashValue="ye0pxOk0F48TttLTs12xAvSbu2H0QrVQ7AZd+3j6No6OsixUh/tmlsCn2r+WuG8xtMyS+Fq4moGXhf6VN6Ws5Q==" saltValue="D+Q/t9Lj+owT7rf9WvLL9Q==" spinCount="100000" sheet="1" objects="1" scenarios="1" selectLockedCells="1" selectUnlockedCells="1"/>
  <mergeCells count="25">
    <mergeCell ref="A17:B17"/>
    <mergeCell ref="C17:D17"/>
    <mergeCell ref="E17:F17"/>
    <mergeCell ref="I17:J17"/>
    <mergeCell ref="A15:B15"/>
    <mergeCell ref="C15:D15"/>
    <mergeCell ref="G15:H15"/>
    <mergeCell ref="I15:J15"/>
    <mergeCell ref="A16:B16"/>
    <mergeCell ref="C16:D16"/>
    <mergeCell ref="A14:B14"/>
    <mergeCell ref="C14:D14"/>
    <mergeCell ref="G8:J8"/>
    <mergeCell ref="A9:B9"/>
    <mergeCell ref="C9:D9"/>
    <mergeCell ref="A10:B10"/>
    <mergeCell ref="C10:D10"/>
    <mergeCell ref="G10:J11"/>
    <mergeCell ref="A11:B11"/>
    <mergeCell ref="C11:D11"/>
    <mergeCell ref="A12:B12"/>
    <mergeCell ref="C12:D12"/>
    <mergeCell ref="G12:J13"/>
    <mergeCell ref="A13:B13"/>
    <mergeCell ref="C13:D13"/>
  </mergeCells>
  <conditionalFormatting sqref="C17:D17">
    <cfRule type="expression" dxfId="32" priority="10" stopIfTrue="1">
      <formula>IF(C13&gt;"&gt;24",C17&gt;G9,FALSE)</formula>
    </cfRule>
  </conditionalFormatting>
  <conditionalFormatting sqref="G15:H15">
    <cfRule type="expression" dxfId="31" priority="3" stopIfTrue="1">
      <formula>IF(C13&gt;"&gt;24",C17&gt;G9,FALSE)</formula>
    </cfRule>
  </conditionalFormatting>
  <conditionalFormatting sqref="G16:H16">
    <cfRule type="expression" dxfId="30" priority="4" stopIfTrue="1">
      <formula>IF(C16&gt;"&gt;24",C18&gt;G10,FALSE)</formula>
    </cfRule>
  </conditionalFormatting>
  <conditionalFormatting sqref="G8:J8">
    <cfRule type="expression" dxfId="29" priority="2" stopIfTrue="1">
      <formula>IF(E23&gt;100,TRUE,FALSE)</formula>
    </cfRule>
  </conditionalFormatting>
  <conditionalFormatting sqref="G10:J11">
    <cfRule type="expression" dxfId="28" priority="8" stopIfTrue="1">
      <formula>D29&gt;(C17+C20-E14+D23-10)</formula>
    </cfRule>
    <cfRule type="expression" dxfId="27" priority="9" stopIfTrue="1">
      <formula>D29&gt;(C17+C20-E14+D23-20)</formula>
    </cfRule>
  </conditionalFormatting>
  <conditionalFormatting sqref="G12:J14">
    <cfRule type="expression" dxfId="26" priority="7" stopIfTrue="1">
      <formula>IF(C13&gt;"&gt;24",C17&gt;G9,FALSE)</formula>
    </cfRule>
  </conditionalFormatting>
  <conditionalFormatting sqref="I15:J15">
    <cfRule type="expression" dxfId="25" priority="5" stopIfTrue="1">
      <formula>IF(C13&gt;"&gt;24",C17&gt;G9,FALSE)</formula>
    </cfRule>
  </conditionalFormatting>
  <conditionalFormatting sqref="I16:J16">
    <cfRule type="expression" dxfId="24" priority="6" stopIfTrue="1">
      <formula>IF(C16&gt;"&gt;24",C18&gt;G10,FALSE)</formula>
    </cfRule>
  </conditionalFormatting>
  <conditionalFormatting sqref="I17:J17">
    <cfRule type="cellIs" dxfId="23" priority="11" stopIfTrue="1" operator="equal">
      <formula>"Masking Needed"</formula>
    </cfRule>
    <cfRule type="cellIs" dxfId="22" priority="12" stopIfTrue="1" operator="equal">
      <formula>"No need to mask"</formula>
    </cfRule>
  </conditionalFormatting>
  <dataValidations count="2">
    <dataValidation type="list" allowBlank="1" showInputMessage="1" showErrorMessage="1" sqref="C12:D12" xr:uid="{00000000-0002-0000-0200-000000000000}">
      <formula1>$K$7:$K$16</formula1>
    </dataValidation>
    <dataValidation type="list" allowBlank="1" showInputMessage="1" showErrorMessage="1" sqref="C9:D9" xr:uid="{00000000-0002-0000-0200-000001000000}">
      <formula1>P19:P26</formula1>
    </dataValidation>
  </dataValidations>
  <pageMargins left="0.75" right="0.75" top="1" bottom="1" header="0.5" footer="0.5"/>
  <pageSetup paperSize="9" orientation="portrait"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34"/>
  <sheetViews>
    <sheetView showGridLines="0" showRowColHeaders="0" zoomScale="130" zoomScaleNormal="130" workbookViewId="0">
      <selection activeCell="D28" sqref="D28"/>
    </sheetView>
  </sheetViews>
  <sheetFormatPr defaultRowHeight="12.75" x14ac:dyDescent="0.2"/>
  <cols>
    <col min="1" max="1" width="16.7109375" customWidth="1"/>
    <col min="2" max="2" width="14.28515625" customWidth="1"/>
    <col min="3" max="3" width="11.28515625" customWidth="1"/>
    <col min="4" max="4" width="8.7109375" customWidth="1"/>
    <col min="5" max="6" width="7.5703125" customWidth="1"/>
    <col min="7" max="7" width="7.7109375" customWidth="1"/>
    <col min="8" max="9" width="8.28515625" customWidth="1"/>
    <col min="10" max="10" width="8.140625" customWidth="1"/>
    <col min="11" max="11" width="12.7109375" bestFit="1" customWidth="1"/>
  </cols>
  <sheetData>
    <row r="1" spans="1:16" ht="24" thickBot="1" x14ac:dyDescent="0.35">
      <c r="A1" s="111"/>
      <c r="B1" s="97" t="s">
        <v>121</v>
      </c>
      <c r="C1" s="138"/>
      <c r="D1" s="111"/>
      <c r="E1" s="96"/>
      <c r="F1" s="95"/>
      <c r="G1" s="95"/>
      <c r="H1" s="95"/>
      <c r="I1" s="95"/>
      <c r="J1" s="95"/>
      <c r="K1" s="112"/>
      <c r="L1" s="57"/>
    </row>
    <row r="2" spans="1:16" ht="12.75" hidden="1" customHeight="1" x14ac:dyDescent="0.2">
      <c r="A2" s="15"/>
      <c r="K2" s="51">
        <f>IF(K3=TRUE,1,0)</f>
        <v>0</v>
      </c>
    </row>
    <row r="3" spans="1:16" ht="12.75" hidden="1" customHeight="1" x14ac:dyDescent="0.2">
      <c r="K3" s="51" t="b">
        <f>IF(C13&gt;"&gt;104",C17&gt;G9,1)</f>
        <v>0</v>
      </c>
      <c r="P3" s="18" t="s">
        <v>25</v>
      </c>
    </row>
    <row r="4" spans="1:16" ht="12.75" hidden="1" customHeight="1" x14ac:dyDescent="0.2">
      <c r="A4" s="58"/>
      <c r="P4" s="18"/>
    </row>
    <row r="5" spans="1:16" ht="12.75" customHeight="1" x14ac:dyDescent="0.2">
      <c r="A5" s="58"/>
      <c r="P5" s="18"/>
    </row>
    <row r="6" spans="1:16" ht="12.75" customHeight="1" x14ac:dyDescent="0.2">
      <c r="A6" s="62" t="s">
        <v>77</v>
      </c>
      <c r="K6" s="50" t="s">
        <v>75</v>
      </c>
      <c r="L6" s="50" t="s">
        <v>74</v>
      </c>
      <c r="M6" s="51" t="str">
        <f>VLOOKUP(C12,K7:L16,2,FALSE)</f>
        <v>1k</v>
      </c>
      <c r="P6" s="18" t="s">
        <v>26</v>
      </c>
    </row>
    <row r="7" spans="1:16" ht="12.75" customHeight="1" x14ac:dyDescent="0.2">
      <c r="A7" s="62" t="s">
        <v>95</v>
      </c>
      <c r="K7" s="50" t="s">
        <v>1</v>
      </c>
      <c r="L7" s="50" t="s">
        <v>73</v>
      </c>
      <c r="M7" s="51"/>
      <c r="P7" s="18" t="s">
        <v>27</v>
      </c>
    </row>
    <row r="8" spans="1:16" ht="12.75" customHeight="1" thickBot="1" x14ac:dyDescent="0.25">
      <c r="G8" s="196" t="s">
        <v>92</v>
      </c>
      <c r="H8" s="196"/>
      <c r="I8" s="196"/>
      <c r="J8" s="196"/>
      <c r="K8" s="50" t="s">
        <v>126</v>
      </c>
      <c r="L8" s="50" t="s">
        <v>70</v>
      </c>
      <c r="M8" s="51"/>
      <c r="P8" s="18" t="s">
        <v>28</v>
      </c>
    </row>
    <row r="9" spans="1:16" ht="12.75" customHeight="1" x14ac:dyDescent="0.2">
      <c r="A9" s="197" t="s">
        <v>91</v>
      </c>
      <c r="B9" s="198"/>
      <c r="C9" s="199" t="str">
        <f>Calculator!$C$8</f>
        <v>GSI Audera</v>
      </c>
      <c r="D9" s="200"/>
      <c r="E9" s="1"/>
      <c r="G9" s="21">
        <f>IF(C10&gt;"BC",VLOOKUP(C12,Data!AD3:AF12,(IF(C10="Phones",2,3)),FALSE),"")</f>
        <v>100</v>
      </c>
      <c r="H9" s="21">
        <f>IF(D29&gt;(C17+C20-E14+D23-10),1,0)</f>
        <v>0</v>
      </c>
      <c r="I9" s="22"/>
      <c r="J9" s="21"/>
      <c r="K9" s="50" t="s">
        <v>127</v>
      </c>
      <c r="L9" s="50" t="s">
        <v>71</v>
      </c>
      <c r="M9" s="51"/>
      <c r="P9" s="18" t="s">
        <v>29</v>
      </c>
    </row>
    <row r="10" spans="1:16" ht="12.75" customHeight="1" x14ac:dyDescent="0.2">
      <c r="A10" s="201" t="s">
        <v>90</v>
      </c>
      <c r="B10" s="202"/>
      <c r="C10" s="203" t="str">
        <f>Calculator!C10</f>
        <v>Insert</v>
      </c>
      <c r="D10" s="204"/>
      <c r="E10" s="1"/>
      <c r="G10" s="205" t="str">
        <f>CONCATENATE("Warning! There is a ",H9," risk of cross-masking")</f>
        <v>Warning! There is a 0 risk of cross-masking</v>
      </c>
      <c r="H10" s="205"/>
      <c r="I10" s="205"/>
      <c r="J10" s="205"/>
      <c r="K10" s="50" t="s">
        <v>128</v>
      </c>
      <c r="L10" s="50" t="s">
        <v>72</v>
      </c>
      <c r="M10" s="51"/>
      <c r="P10" s="18" t="s">
        <v>30</v>
      </c>
    </row>
    <row r="11" spans="1:16" ht="12.75" customHeight="1" x14ac:dyDescent="0.2">
      <c r="A11" s="201" t="s">
        <v>89</v>
      </c>
      <c r="B11" s="202"/>
      <c r="C11" s="203" t="str">
        <f>Calculator!$C$11</f>
        <v>Insert</v>
      </c>
      <c r="D11" s="204"/>
      <c r="E11" s="1"/>
      <c r="G11" s="205"/>
      <c r="H11" s="205"/>
      <c r="I11" s="205"/>
      <c r="J11" s="205"/>
      <c r="K11" s="50" t="s">
        <v>129</v>
      </c>
      <c r="L11" s="50">
        <v>500</v>
      </c>
      <c r="M11" s="51"/>
      <c r="P11" s="18" t="s">
        <v>31</v>
      </c>
    </row>
    <row r="12" spans="1:16" ht="12.75" customHeight="1" x14ac:dyDescent="0.2">
      <c r="A12" s="201" t="s">
        <v>88</v>
      </c>
      <c r="B12" s="202"/>
      <c r="C12" s="203" t="s">
        <v>128</v>
      </c>
      <c r="D12" s="204"/>
      <c r="E12" s="1"/>
      <c r="G12" s="206" t="s">
        <v>93</v>
      </c>
      <c r="H12" s="206"/>
      <c r="I12" s="206"/>
      <c r="J12" s="206"/>
      <c r="K12" s="50" t="s">
        <v>78</v>
      </c>
      <c r="L12" s="50" t="s">
        <v>76</v>
      </c>
      <c r="M12" s="51"/>
      <c r="P12" s="44" t="s">
        <v>69</v>
      </c>
    </row>
    <row r="13" spans="1:16" ht="12.75" customHeight="1" x14ac:dyDescent="0.25">
      <c r="A13" s="192" t="s">
        <v>87</v>
      </c>
      <c r="B13" s="193"/>
      <c r="C13" s="194" t="str">
        <f>Calculator!$C$13</f>
        <v>6 to 8</v>
      </c>
      <c r="D13" s="195"/>
      <c r="E13" s="1"/>
      <c r="F13" s="63"/>
      <c r="G13" s="206"/>
      <c r="H13" s="206"/>
      <c r="I13" s="206"/>
      <c r="J13" s="206"/>
      <c r="K13" s="50" t="s">
        <v>79</v>
      </c>
      <c r="L13" s="50" t="s">
        <v>70</v>
      </c>
      <c r="M13" s="51"/>
      <c r="P13" s="44" t="s">
        <v>94</v>
      </c>
    </row>
    <row r="14" spans="1:16" ht="12.75" customHeight="1" x14ac:dyDescent="0.25">
      <c r="A14" s="192" t="s">
        <v>86</v>
      </c>
      <c r="B14" s="193"/>
      <c r="C14" s="194">
        <f>Calculator!$C$14</f>
        <v>0</v>
      </c>
      <c r="D14" s="195"/>
      <c r="E14" s="28">
        <f>IF(C10&gt;"BC",C14,0)</f>
        <v>0</v>
      </c>
      <c r="F14" s="63"/>
      <c r="G14" s="64"/>
      <c r="H14" s="64"/>
      <c r="I14" s="64"/>
      <c r="J14" s="64"/>
      <c r="K14" s="50" t="s">
        <v>80</v>
      </c>
      <c r="L14" s="50" t="s">
        <v>71</v>
      </c>
      <c r="M14" s="51"/>
      <c r="P14" s="44" t="s">
        <v>68</v>
      </c>
    </row>
    <row r="15" spans="1:16" ht="12.75" customHeight="1" x14ac:dyDescent="0.25">
      <c r="A15" s="201" t="s">
        <v>85</v>
      </c>
      <c r="B15" s="202"/>
      <c r="C15" s="203">
        <f>Calculator!$C$15</f>
        <v>0</v>
      </c>
      <c r="D15" s="204"/>
      <c r="E15" s="1"/>
      <c r="F15" s="63"/>
      <c r="G15" s="215">
        <f>G9</f>
        <v>100</v>
      </c>
      <c r="H15" s="215"/>
      <c r="I15" s="216" t="s">
        <v>23</v>
      </c>
      <c r="J15" s="216"/>
      <c r="K15" s="50" t="s">
        <v>81</v>
      </c>
      <c r="L15" s="50" t="s">
        <v>72</v>
      </c>
      <c r="M15" s="51"/>
      <c r="P15" s="18"/>
    </row>
    <row r="16" spans="1:16" ht="12.75" customHeight="1" thickBot="1" x14ac:dyDescent="0.3">
      <c r="A16" s="192" t="s">
        <v>84</v>
      </c>
      <c r="B16" s="193"/>
      <c r="C16" s="194">
        <f>Calculator!$C$16</f>
        <v>0</v>
      </c>
      <c r="D16" s="195"/>
      <c r="E16" s="1"/>
      <c r="F16" s="63"/>
      <c r="G16" s="65"/>
      <c r="H16" s="65"/>
      <c r="I16" s="66">
        <f>(B28+2-C16)</f>
        <v>-14</v>
      </c>
      <c r="J16" s="67">
        <f>(D29-(C17+C20-E14+D23-20))</f>
        <v>-57</v>
      </c>
      <c r="K16" s="50" t="s">
        <v>82</v>
      </c>
      <c r="L16" s="50">
        <v>500</v>
      </c>
      <c r="M16" s="51"/>
      <c r="P16" s="18"/>
    </row>
    <row r="17" spans="1:16" ht="12.75" customHeight="1" thickBot="1" x14ac:dyDescent="0.25">
      <c r="A17" s="207" t="s">
        <v>19</v>
      </c>
      <c r="B17" s="208"/>
      <c r="C17" s="209">
        <f>IF(Calculator!C9="Various", Calculator!F18, Calculator!$C$17)</f>
        <v>50</v>
      </c>
      <c r="D17" s="210"/>
      <c r="E17" s="211">
        <f>B27</f>
        <v>30</v>
      </c>
      <c r="F17" s="212"/>
      <c r="G17" s="68" t="s">
        <v>64</v>
      </c>
      <c r="I17" s="213" t="str">
        <f>IF((2+B28)&gt;C16,"Masking Needed","No need to mask")</f>
        <v>No need to mask</v>
      </c>
      <c r="J17" s="214"/>
    </row>
    <row r="18" spans="1:16" ht="12.75" customHeight="1" thickBot="1" x14ac:dyDescent="0.25">
      <c r="F18" s="69"/>
      <c r="I18" s="51">
        <f>IF(I17="Masking Needed", 1,0)</f>
        <v>0</v>
      </c>
      <c r="P18" s="59" t="s">
        <v>123</v>
      </c>
    </row>
    <row r="19" spans="1:16" ht="15" customHeight="1" x14ac:dyDescent="0.2">
      <c r="A19" s="70" t="s">
        <v>2</v>
      </c>
      <c r="B19" s="71" t="s">
        <v>8</v>
      </c>
      <c r="C19" s="72" t="s">
        <v>9</v>
      </c>
      <c r="D19" s="72" t="s">
        <v>52</v>
      </c>
      <c r="E19" s="72" t="s">
        <v>39</v>
      </c>
      <c r="F19" s="72" t="s">
        <v>55</v>
      </c>
      <c r="G19" s="72" t="s">
        <v>6</v>
      </c>
      <c r="H19" s="73" t="s">
        <v>4</v>
      </c>
      <c r="I19" s="74" t="s">
        <v>3</v>
      </c>
      <c r="J19" s="75" t="s">
        <v>34</v>
      </c>
      <c r="P19" s="59" t="s">
        <v>35</v>
      </c>
    </row>
    <row r="20" spans="1:16" ht="15.75" customHeight="1" thickBot="1" x14ac:dyDescent="0.35">
      <c r="A20" s="76" t="s">
        <v>43</v>
      </c>
      <c r="B20" s="77">
        <f>C17</f>
        <v>50</v>
      </c>
      <c r="C20" s="77">
        <f>IF(C10="BC",B26,(IF(C10="Insert",B24,0)))</f>
        <v>5</v>
      </c>
      <c r="D20" s="77">
        <f>D24</f>
        <v>27</v>
      </c>
      <c r="E20" s="77">
        <f>+C15</f>
        <v>0</v>
      </c>
      <c r="F20" s="77">
        <f>(D26+D28)</f>
        <v>46</v>
      </c>
      <c r="G20" s="78">
        <f>IF(C11="Insert",B24,0)</f>
        <v>5</v>
      </c>
      <c r="H20" s="79">
        <f>B25</f>
        <v>-9</v>
      </c>
      <c r="I20" s="80">
        <f>5*(ROUND((B20+C20+D20+E20-F20-G20-H20)/5,0))</f>
        <v>40</v>
      </c>
      <c r="J20" s="20">
        <f>IF((I20-C17)&gt;0,"+" &amp; (I20-C17),(I20-C17))</f>
        <v>-10</v>
      </c>
      <c r="P20" s="59" t="s">
        <v>36</v>
      </c>
    </row>
    <row r="21" spans="1:16" x14ac:dyDescent="0.2">
      <c r="P21" s="59" t="s">
        <v>124</v>
      </c>
    </row>
    <row r="22" spans="1:16" x14ac:dyDescent="0.2">
      <c r="A22" s="19" t="s">
        <v>47</v>
      </c>
      <c r="B22" s="26"/>
      <c r="C22" s="19"/>
      <c r="D22" s="19"/>
      <c r="E22" s="30"/>
      <c r="F22" s="26"/>
      <c r="G22" s="26"/>
      <c r="H22" s="26"/>
      <c r="I22" s="36"/>
      <c r="J22" s="36"/>
      <c r="P22" s="59" t="s">
        <v>14</v>
      </c>
    </row>
    <row r="23" spans="1:16" x14ac:dyDescent="0.2">
      <c r="A23" s="19"/>
      <c r="B23" s="26"/>
      <c r="C23" s="81" t="s">
        <v>53</v>
      </c>
      <c r="D23" s="32">
        <f>VLOOKUP(C12,Data!E3:G12,3,FALSE)</f>
        <v>12</v>
      </c>
      <c r="E23" s="56">
        <f>I20+B25+G20</f>
        <v>36</v>
      </c>
      <c r="F23" s="26"/>
      <c r="G23" s="26"/>
      <c r="H23" s="26"/>
      <c r="I23" s="36"/>
      <c r="J23" s="36"/>
      <c r="L23" s="55"/>
      <c r="P23" s="59" t="s">
        <v>125</v>
      </c>
    </row>
    <row r="24" spans="1:16" x14ac:dyDescent="0.2">
      <c r="A24" s="81" t="s">
        <v>7</v>
      </c>
      <c r="B24" s="82">
        <f>VLOOKUP(C13,Data!R3:W12,(IF(M6="Wband",2,(IF(M6="4k",3,(IF(M6="2k",4,(IF(M6="1k",5,6)))))))),FALSE)</f>
        <v>5</v>
      </c>
      <c r="C24" s="81" t="s">
        <v>54</v>
      </c>
      <c r="D24" s="32">
        <f>VLOOKUP(C12,Data!E3:G12,2,FALSE)</f>
        <v>27</v>
      </c>
      <c r="E24" s="26"/>
      <c r="F24" s="26"/>
      <c r="G24" s="26"/>
      <c r="H24" s="26"/>
      <c r="I24" s="36"/>
      <c r="J24" s="36"/>
      <c r="P24" s="59" t="s">
        <v>37</v>
      </c>
    </row>
    <row r="25" spans="1:16" x14ac:dyDescent="0.2">
      <c r="A25" s="81" t="s">
        <v>0</v>
      </c>
      <c r="B25" s="32">
        <f>VLOOKUP(C9,Data!A3:D10,(IF(C11="Phones",2,3)),FALSE)</f>
        <v>-9</v>
      </c>
      <c r="C25" s="81" t="s">
        <v>38</v>
      </c>
      <c r="D25" s="32">
        <f>C15</f>
        <v>0</v>
      </c>
      <c r="E25" s="26"/>
      <c r="F25" s="26"/>
      <c r="G25" s="26"/>
      <c r="H25" s="26"/>
      <c r="I25" s="36"/>
      <c r="J25" s="36"/>
      <c r="P25" s="59" t="s">
        <v>48</v>
      </c>
    </row>
    <row r="26" spans="1:16" x14ac:dyDescent="0.2">
      <c r="A26" s="81" t="s">
        <v>40</v>
      </c>
      <c r="B26" s="82">
        <f>VLOOKUP(C13,Data!X3:AC12,(IF(M6="Wband",2,(IF(M6="4k",3,(IF(M6="2k",4,(IF(M6="1k",5,6)))))))),FALSE)</f>
        <v>20</v>
      </c>
      <c r="C26" s="81" t="s">
        <v>56</v>
      </c>
      <c r="D26" s="32">
        <f>VLOOKUP(C12,Data!H3:K12,(IF(C10="Phones",2,(IF(C10="Insert",3,4)))),FALSE)</f>
        <v>46</v>
      </c>
      <c r="E26" s="31"/>
      <c r="F26" s="26"/>
      <c r="G26" s="26"/>
      <c r="H26" s="26"/>
      <c r="I26" s="36"/>
      <c r="J26" s="36"/>
    </row>
    <row r="27" spans="1:16" x14ac:dyDescent="0.2">
      <c r="A27" s="81" t="s">
        <v>42</v>
      </c>
      <c r="B27" s="32">
        <f>C17+C20-(VLOOKUP(C12,Data!AG3:AH12,2,FALSE))</f>
        <v>30</v>
      </c>
      <c r="C27" s="81" t="s">
        <v>57</v>
      </c>
      <c r="D27" s="32">
        <f>VLOOKUP(C12,Data!H3:K12,(IF(C11="Phones",2,3)),FALSE)</f>
        <v>46</v>
      </c>
      <c r="E27" s="26"/>
      <c r="F27" s="26"/>
      <c r="G27" s="26"/>
      <c r="H27" s="26"/>
      <c r="I27" s="34"/>
    </row>
    <row r="28" spans="1:16" x14ac:dyDescent="0.2">
      <c r="A28" s="81" t="s">
        <v>41</v>
      </c>
      <c r="B28" s="32">
        <f>B27-F20</f>
        <v>-16</v>
      </c>
      <c r="C28" s="81" t="s">
        <v>58</v>
      </c>
      <c r="D28" s="32">
        <f>VLOOKUP(C13,Data!L3:Q12,(IF(C12="Click",2,(IF(C12="4k tone",3,(IF(C12="2k tone",4,(IF(C12="1k tone",5,6)))))))),FALSE)</f>
        <v>0</v>
      </c>
      <c r="E28" s="26"/>
      <c r="F28" s="26"/>
      <c r="G28" s="26"/>
      <c r="H28" s="26"/>
    </row>
    <row r="29" spans="1:16" x14ac:dyDescent="0.2">
      <c r="A29" s="81"/>
      <c r="B29" s="83"/>
      <c r="C29" s="81" t="s">
        <v>45</v>
      </c>
      <c r="D29" s="82">
        <f>(I20+B25+G20-D27-D28)</f>
        <v>-10</v>
      </c>
      <c r="E29" s="26"/>
      <c r="F29" s="26"/>
      <c r="G29" s="26"/>
      <c r="H29" s="26"/>
    </row>
    <row r="30" spans="1:16" x14ac:dyDescent="0.2">
      <c r="A30" s="81"/>
      <c r="B30" s="83"/>
      <c r="C30" s="81"/>
      <c r="D30" s="82"/>
      <c r="E30" s="26"/>
      <c r="F30" s="26"/>
      <c r="G30" s="26"/>
      <c r="H30" s="26"/>
    </row>
    <row r="31" spans="1:16" x14ac:dyDescent="0.2">
      <c r="A31" s="49" t="s">
        <v>18</v>
      </c>
    </row>
    <row r="32" spans="1:16" x14ac:dyDescent="0.2">
      <c r="A32" s="47"/>
    </row>
    <row r="33" spans="1:1" x14ac:dyDescent="0.2">
      <c r="A33" s="47"/>
    </row>
    <row r="34" spans="1:1" x14ac:dyDescent="0.2">
      <c r="A34" s="47"/>
    </row>
  </sheetData>
  <sheetProtection algorithmName="SHA-512" hashValue="GZ8BIcAiNrNM+1NfOcOUolhvmCNQhkKgwNDFtwv/2bh/fSbiVT56mNlTOtixsmm4UL3x0EojczO4etOxSjilBA==" saltValue="v5DuvDO2Zj6vkJAsx/+DDw==" spinCount="100000" sheet="1" objects="1" scenarios="1" selectLockedCells="1" selectUnlockedCells="1"/>
  <mergeCells count="25">
    <mergeCell ref="A17:B17"/>
    <mergeCell ref="C17:D17"/>
    <mergeCell ref="E17:F17"/>
    <mergeCell ref="I17:J17"/>
    <mergeCell ref="A15:B15"/>
    <mergeCell ref="C15:D15"/>
    <mergeCell ref="G15:H15"/>
    <mergeCell ref="I15:J15"/>
    <mergeCell ref="A16:B16"/>
    <mergeCell ref="C16:D16"/>
    <mergeCell ref="A14:B14"/>
    <mergeCell ref="C14:D14"/>
    <mergeCell ref="G8:J8"/>
    <mergeCell ref="A9:B9"/>
    <mergeCell ref="C9:D9"/>
    <mergeCell ref="A10:B10"/>
    <mergeCell ref="C10:D10"/>
    <mergeCell ref="G10:J11"/>
    <mergeCell ref="A11:B11"/>
    <mergeCell ref="C11:D11"/>
    <mergeCell ref="A12:B12"/>
    <mergeCell ref="C12:D12"/>
    <mergeCell ref="G12:J13"/>
    <mergeCell ref="A13:B13"/>
    <mergeCell ref="C13:D13"/>
  </mergeCells>
  <conditionalFormatting sqref="C17:D17">
    <cfRule type="expression" dxfId="21" priority="10" stopIfTrue="1">
      <formula>IF(C13&gt;"&gt;24",C17&gt;G9,FALSE)</formula>
    </cfRule>
  </conditionalFormatting>
  <conditionalFormatting sqref="G15:H15">
    <cfRule type="expression" dxfId="20" priority="3" stopIfTrue="1">
      <formula>IF(C13&gt;"&gt;24",C17&gt;G9,FALSE)</formula>
    </cfRule>
  </conditionalFormatting>
  <conditionalFormatting sqref="G16:H16">
    <cfRule type="expression" dxfId="19" priority="4" stopIfTrue="1">
      <formula>IF(C16&gt;"&gt;24",C18&gt;G10,FALSE)</formula>
    </cfRule>
  </conditionalFormatting>
  <conditionalFormatting sqref="G8:J8">
    <cfRule type="expression" dxfId="18" priority="2" stopIfTrue="1">
      <formula>IF(E23&gt;100,TRUE,FALSE)</formula>
    </cfRule>
  </conditionalFormatting>
  <conditionalFormatting sqref="G10:J11">
    <cfRule type="expression" dxfId="17" priority="8" stopIfTrue="1">
      <formula>D29&gt;(C17+C20-E14+D23-10)</formula>
    </cfRule>
    <cfRule type="expression" dxfId="16" priority="9" stopIfTrue="1">
      <formula>D29&gt;(C17+C20-E14+D23-20)</formula>
    </cfRule>
  </conditionalFormatting>
  <conditionalFormatting sqref="G12:J14">
    <cfRule type="expression" dxfId="15" priority="7" stopIfTrue="1">
      <formula>IF(C13&gt;"&gt;24",C17&gt;G9,FALSE)</formula>
    </cfRule>
  </conditionalFormatting>
  <conditionalFormatting sqref="I15:J15">
    <cfRule type="expression" dxfId="14" priority="5" stopIfTrue="1">
      <formula>IF(C13&gt;"&gt;24",C17&gt;G9,FALSE)</formula>
    </cfRule>
  </conditionalFormatting>
  <conditionalFormatting sqref="I16:J16">
    <cfRule type="expression" dxfId="13" priority="6" stopIfTrue="1">
      <formula>IF(C16&gt;"&gt;24",C18&gt;G10,FALSE)</formula>
    </cfRule>
  </conditionalFormatting>
  <conditionalFormatting sqref="I17:J17">
    <cfRule type="cellIs" dxfId="12" priority="11" stopIfTrue="1" operator="equal">
      <formula>"Masking Needed"</formula>
    </cfRule>
    <cfRule type="cellIs" dxfId="11" priority="12" stopIfTrue="1" operator="equal">
      <formula>"No need to mask"</formula>
    </cfRule>
  </conditionalFormatting>
  <dataValidations count="2">
    <dataValidation type="list" allowBlank="1" showInputMessage="1" showErrorMessage="1" sqref="C12:D12" xr:uid="{00000000-0002-0000-0300-000000000000}">
      <formula1>$K$7:$K$16</formula1>
    </dataValidation>
    <dataValidation type="list" allowBlank="1" showInputMessage="1" showErrorMessage="1" sqref="C9:D9" xr:uid="{00000000-0002-0000-0300-000001000000}">
      <formula1>P19:P26</formula1>
    </dataValidation>
  </dataValidations>
  <pageMargins left="0.75" right="0.75" top="1" bottom="1" header="0.5" footer="0.5"/>
  <pageSetup paperSize="9" orientation="portrait"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P34"/>
  <sheetViews>
    <sheetView showGridLines="0" showRowColHeaders="0" zoomScale="130" zoomScaleNormal="130" workbookViewId="0">
      <selection activeCell="D28" sqref="D28"/>
    </sheetView>
  </sheetViews>
  <sheetFormatPr defaultRowHeight="12.75" x14ac:dyDescent="0.2"/>
  <cols>
    <col min="1" max="1" width="16.7109375" customWidth="1"/>
    <col min="2" max="2" width="14.28515625" customWidth="1"/>
    <col min="3" max="3" width="11.28515625" customWidth="1"/>
    <col min="4" max="4" width="8.7109375" customWidth="1"/>
    <col min="5" max="6" width="7.5703125" customWidth="1"/>
    <col min="7" max="7" width="7.7109375" customWidth="1"/>
    <col min="8" max="9" width="8.28515625" customWidth="1"/>
    <col min="10" max="10" width="8.140625" customWidth="1"/>
    <col min="11" max="11" width="12.7109375" bestFit="1" customWidth="1"/>
  </cols>
  <sheetData>
    <row r="1" spans="1:16" ht="24" thickBot="1" x14ac:dyDescent="0.35">
      <c r="A1" s="111"/>
      <c r="B1" s="97" t="s">
        <v>122</v>
      </c>
      <c r="C1" s="138"/>
      <c r="D1" s="111"/>
      <c r="E1" s="96"/>
      <c r="F1" s="95"/>
      <c r="G1" s="95"/>
      <c r="H1" s="95"/>
      <c r="I1" s="95"/>
      <c r="J1" s="95"/>
      <c r="K1" s="112"/>
      <c r="L1" s="57"/>
    </row>
    <row r="2" spans="1:16" ht="12.75" hidden="1" customHeight="1" x14ac:dyDescent="0.2">
      <c r="A2" s="15"/>
      <c r="K2" s="51">
        <f>IF(K3=TRUE,1,0)</f>
        <v>0</v>
      </c>
    </row>
    <row r="3" spans="1:16" ht="12.75" hidden="1" customHeight="1" x14ac:dyDescent="0.2">
      <c r="C3" s="58"/>
      <c r="K3" s="51" t="b">
        <f>IF(C13&gt;"&gt;104",C17&gt;G9,1)</f>
        <v>0</v>
      </c>
      <c r="P3" s="18" t="s">
        <v>25</v>
      </c>
    </row>
    <row r="4" spans="1:16" ht="12.75" customHeight="1" x14ac:dyDescent="0.25">
      <c r="A4" s="58"/>
      <c r="B4" s="84"/>
      <c r="P4" s="18"/>
    </row>
    <row r="5" spans="1:16" ht="12.75" hidden="1" customHeight="1" x14ac:dyDescent="0.2">
      <c r="A5" s="58" t="s">
        <v>97</v>
      </c>
      <c r="P5" s="18"/>
    </row>
    <row r="6" spans="1:16" ht="12.75" customHeight="1" x14ac:dyDescent="0.2">
      <c r="A6" s="62" t="s">
        <v>77</v>
      </c>
      <c r="K6" s="50" t="s">
        <v>75</v>
      </c>
      <c r="L6" s="50" t="s">
        <v>74</v>
      </c>
      <c r="M6" s="51">
        <f>VLOOKUP(C12,K7:L16,2,FALSE)</f>
        <v>500</v>
      </c>
      <c r="P6" s="18" t="s">
        <v>26</v>
      </c>
    </row>
    <row r="7" spans="1:16" ht="12.75" customHeight="1" x14ac:dyDescent="0.2">
      <c r="A7" s="62" t="s">
        <v>95</v>
      </c>
      <c r="K7" s="50" t="s">
        <v>1</v>
      </c>
      <c r="L7" s="50" t="s">
        <v>73</v>
      </c>
      <c r="M7" s="51"/>
      <c r="P7" s="18" t="s">
        <v>27</v>
      </c>
    </row>
    <row r="8" spans="1:16" ht="12.75" customHeight="1" thickBot="1" x14ac:dyDescent="0.25">
      <c r="G8" s="196" t="s">
        <v>92</v>
      </c>
      <c r="H8" s="196"/>
      <c r="I8" s="196"/>
      <c r="J8" s="196"/>
      <c r="K8" s="50" t="s">
        <v>126</v>
      </c>
      <c r="L8" s="50" t="s">
        <v>70</v>
      </c>
      <c r="M8" s="51"/>
      <c r="P8" s="18" t="s">
        <v>28</v>
      </c>
    </row>
    <row r="9" spans="1:16" ht="12.75" customHeight="1" x14ac:dyDescent="0.2">
      <c r="A9" s="197" t="s">
        <v>91</v>
      </c>
      <c r="B9" s="198"/>
      <c r="C9" s="199" t="str">
        <f>Calculator!$C$8</f>
        <v>GSI Audera</v>
      </c>
      <c r="D9" s="200"/>
      <c r="E9" s="1"/>
      <c r="G9" s="21">
        <f>IF(C10&gt;"BC",VLOOKUP(C12,Data!AD3:AF12,(IF(C10="Phones",2,3)),FALSE),"")</f>
        <v>100</v>
      </c>
      <c r="H9" s="21">
        <f>IF(D29&gt;(C17+C20-E14+D23-10),1,0)</f>
        <v>0</v>
      </c>
      <c r="I9" s="22"/>
      <c r="J9" s="21"/>
      <c r="K9" s="50" t="s">
        <v>127</v>
      </c>
      <c r="L9" s="50" t="s">
        <v>71</v>
      </c>
      <c r="M9" s="51"/>
      <c r="P9" s="18" t="s">
        <v>29</v>
      </c>
    </row>
    <row r="10" spans="1:16" ht="12.75" customHeight="1" x14ac:dyDescent="0.2">
      <c r="A10" s="201" t="s">
        <v>90</v>
      </c>
      <c r="B10" s="202"/>
      <c r="C10" s="203" t="str">
        <f>Calculator!C10</f>
        <v>Insert</v>
      </c>
      <c r="D10" s="204"/>
      <c r="E10" s="1"/>
      <c r="G10" s="205" t="str">
        <f>CONCATENATE("Warning! There is a ",H9," risk of cross-masking")</f>
        <v>Warning! There is a 0 risk of cross-masking</v>
      </c>
      <c r="H10" s="205"/>
      <c r="I10" s="205"/>
      <c r="J10" s="205"/>
      <c r="K10" s="50" t="s">
        <v>128</v>
      </c>
      <c r="L10" s="50" t="s">
        <v>72</v>
      </c>
      <c r="M10" s="51"/>
      <c r="P10" s="18" t="s">
        <v>30</v>
      </c>
    </row>
    <row r="11" spans="1:16" ht="12.75" customHeight="1" x14ac:dyDescent="0.2">
      <c r="A11" s="201" t="s">
        <v>89</v>
      </c>
      <c r="B11" s="202"/>
      <c r="C11" s="203" t="str">
        <f>Calculator!$C$11</f>
        <v>Insert</v>
      </c>
      <c r="D11" s="204"/>
      <c r="E11" s="1"/>
      <c r="G11" s="205"/>
      <c r="H11" s="205"/>
      <c r="I11" s="205"/>
      <c r="J11" s="205"/>
      <c r="K11" s="50" t="s">
        <v>129</v>
      </c>
      <c r="L11" s="50">
        <v>500</v>
      </c>
      <c r="M11" s="51"/>
      <c r="P11" s="18" t="s">
        <v>31</v>
      </c>
    </row>
    <row r="12" spans="1:16" ht="12.75" customHeight="1" x14ac:dyDescent="0.2">
      <c r="A12" s="201" t="s">
        <v>88</v>
      </c>
      <c r="B12" s="202"/>
      <c r="C12" s="203" t="s">
        <v>129</v>
      </c>
      <c r="D12" s="204"/>
      <c r="E12" s="1"/>
      <c r="G12" s="206" t="s">
        <v>93</v>
      </c>
      <c r="H12" s="206"/>
      <c r="I12" s="206"/>
      <c r="J12" s="206"/>
      <c r="K12" s="50" t="s">
        <v>78</v>
      </c>
      <c r="L12" s="50" t="s">
        <v>76</v>
      </c>
      <c r="M12" s="51"/>
      <c r="P12" s="44" t="s">
        <v>69</v>
      </c>
    </row>
    <row r="13" spans="1:16" ht="12.75" customHeight="1" x14ac:dyDescent="0.25">
      <c r="A13" s="192" t="s">
        <v>87</v>
      </c>
      <c r="B13" s="193"/>
      <c r="C13" s="194" t="str">
        <f>Calculator!$C$13</f>
        <v>6 to 8</v>
      </c>
      <c r="D13" s="195"/>
      <c r="E13" s="1"/>
      <c r="F13" s="63"/>
      <c r="G13" s="206"/>
      <c r="H13" s="206"/>
      <c r="I13" s="206"/>
      <c r="J13" s="206"/>
      <c r="K13" s="50" t="s">
        <v>79</v>
      </c>
      <c r="L13" s="50" t="s">
        <v>70</v>
      </c>
      <c r="M13" s="51"/>
      <c r="P13" s="44" t="s">
        <v>94</v>
      </c>
    </row>
    <row r="14" spans="1:16" ht="12.75" customHeight="1" x14ac:dyDescent="0.25">
      <c r="A14" s="192" t="s">
        <v>86</v>
      </c>
      <c r="B14" s="193"/>
      <c r="C14" s="194">
        <f>Calculator!$C$14</f>
        <v>0</v>
      </c>
      <c r="D14" s="195"/>
      <c r="E14" s="28">
        <f>IF(C10&gt;"BC",C14,0)</f>
        <v>0</v>
      </c>
      <c r="F14" s="63"/>
      <c r="G14" s="64"/>
      <c r="H14" s="64"/>
      <c r="I14" s="64"/>
      <c r="J14" s="64"/>
      <c r="K14" s="50" t="s">
        <v>80</v>
      </c>
      <c r="L14" s="50" t="s">
        <v>71</v>
      </c>
      <c r="M14" s="51"/>
      <c r="P14" s="44" t="s">
        <v>68</v>
      </c>
    </row>
    <row r="15" spans="1:16" ht="12.75" customHeight="1" x14ac:dyDescent="0.25">
      <c r="A15" s="201" t="s">
        <v>85</v>
      </c>
      <c r="B15" s="202"/>
      <c r="C15" s="203">
        <f>Calculator!$C$15</f>
        <v>0</v>
      </c>
      <c r="D15" s="204"/>
      <c r="E15" s="1"/>
      <c r="F15" s="63"/>
      <c r="G15" s="215">
        <f>G9</f>
        <v>100</v>
      </c>
      <c r="H15" s="215"/>
      <c r="I15" s="216" t="s">
        <v>23</v>
      </c>
      <c r="J15" s="216"/>
      <c r="K15" s="50" t="s">
        <v>81</v>
      </c>
      <c r="L15" s="50" t="s">
        <v>72</v>
      </c>
      <c r="M15" s="51"/>
      <c r="P15" s="18"/>
    </row>
    <row r="16" spans="1:16" ht="12.75" customHeight="1" thickBot="1" x14ac:dyDescent="0.3">
      <c r="A16" s="192" t="s">
        <v>84</v>
      </c>
      <c r="B16" s="193"/>
      <c r="C16" s="194">
        <f>Calculator!$C$16</f>
        <v>0</v>
      </c>
      <c r="D16" s="195"/>
      <c r="E16" s="1"/>
      <c r="F16" s="63"/>
      <c r="G16" s="65"/>
      <c r="H16" s="65"/>
      <c r="I16" s="66">
        <f>(B28+2-C16)</f>
        <v>-88</v>
      </c>
      <c r="J16" s="67">
        <f>(D29-(C17+C20-E14+D23-20))</f>
        <v>-45</v>
      </c>
      <c r="K16" s="50" t="s">
        <v>82</v>
      </c>
      <c r="L16" s="50">
        <v>500</v>
      </c>
      <c r="M16" s="51"/>
      <c r="P16" s="18"/>
    </row>
    <row r="17" spans="1:16" ht="12.75" customHeight="1" thickBot="1" x14ac:dyDescent="0.25">
      <c r="A17" s="207" t="s">
        <v>19</v>
      </c>
      <c r="B17" s="208"/>
      <c r="C17" s="209">
        <f>IF(Calculator!C12="Exclude 500", -30, IF(Calculator!C9="Various", Calculator!E18, Calculator!$C$17))</f>
        <v>-30</v>
      </c>
      <c r="D17" s="210"/>
      <c r="E17" s="211">
        <f>B27</f>
        <v>-50</v>
      </c>
      <c r="F17" s="212"/>
      <c r="G17" s="68" t="s">
        <v>64</v>
      </c>
      <c r="I17" s="213" t="str">
        <f>IF((2+B28)&gt;C16,"Masking Needed","No need to mask")</f>
        <v>No need to mask</v>
      </c>
      <c r="J17" s="214"/>
    </row>
    <row r="18" spans="1:16" ht="12.75" customHeight="1" thickBot="1" x14ac:dyDescent="0.25">
      <c r="F18" s="69"/>
      <c r="I18" s="51">
        <f>IF(I17="Masking Needed", 1,0)</f>
        <v>0</v>
      </c>
      <c r="P18" s="59" t="s">
        <v>123</v>
      </c>
    </row>
    <row r="19" spans="1:16" ht="15" customHeight="1" x14ac:dyDescent="0.2">
      <c r="A19" s="70" t="s">
        <v>2</v>
      </c>
      <c r="B19" s="71" t="s">
        <v>8</v>
      </c>
      <c r="C19" s="72" t="s">
        <v>9</v>
      </c>
      <c r="D19" s="72" t="s">
        <v>52</v>
      </c>
      <c r="E19" s="72" t="s">
        <v>39</v>
      </c>
      <c r="F19" s="72" t="s">
        <v>55</v>
      </c>
      <c r="G19" s="72" t="s">
        <v>6</v>
      </c>
      <c r="H19" s="73" t="s">
        <v>4</v>
      </c>
      <c r="I19" s="74" t="s">
        <v>3</v>
      </c>
      <c r="J19" s="75" t="s">
        <v>34</v>
      </c>
      <c r="P19" s="59" t="s">
        <v>35</v>
      </c>
    </row>
    <row r="20" spans="1:16" ht="15.75" customHeight="1" thickBot="1" x14ac:dyDescent="0.35">
      <c r="A20" s="76" t="s">
        <v>43</v>
      </c>
      <c r="B20" s="77">
        <f>C17</f>
        <v>-30</v>
      </c>
      <c r="C20" s="77">
        <f>IF(C10="BC",B26,(IF(C10="Insert",B24,0)))</f>
        <v>5</v>
      </c>
      <c r="D20" s="77">
        <f>D24</f>
        <v>26</v>
      </c>
      <c r="E20" s="77">
        <f>+C15</f>
        <v>0</v>
      </c>
      <c r="F20" s="77">
        <f>(D26+D28)</f>
        <v>40</v>
      </c>
      <c r="G20" s="78">
        <f>IF(C11="Insert",B24,0)</f>
        <v>5</v>
      </c>
      <c r="H20" s="79">
        <f>B25</f>
        <v>-9</v>
      </c>
      <c r="I20" s="80">
        <f>5*(ROUND((B20+C20+D20+E20-F20-G20-H20)/5,0))</f>
        <v>-35</v>
      </c>
      <c r="J20" s="20">
        <f>IF((I20-C17)&gt;0,"+" &amp; (I20-C17),(I20-C17))</f>
        <v>-5</v>
      </c>
      <c r="P20" s="59" t="s">
        <v>36</v>
      </c>
    </row>
    <row r="21" spans="1:16" x14ac:dyDescent="0.2">
      <c r="P21" s="59" t="s">
        <v>124</v>
      </c>
    </row>
    <row r="22" spans="1:16" x14ac:dyDescent="0.2">
      <c r="A22" s="19" t="s">
        <v>47</v>
      </c>
      <c r="B22" s="26"/>
      <c r="C22" s="19"/>
      <c r="D22" s="19"/>
      <c r="E22" s="30"/>
      <c r="F22" s="26"/>
      <c r="G22" s="26"/>
      <c r="H22" s="26"/>
      <c r="I22" s="36"/>
      <c r="J22" s="36"/>
      <c r="P22" s="59" t="s">
        <v>14</v>
      </c>
    </row>
    <row r="23" spans="1:16" x14ac:dyDescent="0.2">
      <c r="A23" s="19"/>
      <c r="B23" s="26"/>
      <c r="C23" s="81" t="s">
        <v>53</v>
      </c>
      <c r="D23" s="32">
        <f>VLOOKUP(C12,Data!E3:G12,3,FALSE)</f>
        <v>11</v>
      </c>
      <c r="E23" s="56">
        <f>I20+B25+G20</f>
        <v>-39</v>
      </c>
      <c r="F23" s="26"/>
      <c r="G23" s="26"/>
      <c r="H23" s="26"/>
      <c r="I23" s="36"/>
      <c r="J23" s="36"/>
      <c r="L23" s="55"/>
      <c r="P23" s="59" t="s">
        <v>125</v>
      </c>
    </row>
    <row r="24" spans="1:16" x14ac:dyDescent="0.2">
      <c r="A24" s="81" t="s">
        <v>7</v>
      </c>
      <c r="B24" s="82">
        <f>VLOOKUP(C13,Data!R3:W12,(IF(M6="Wband",2,(IF(M6="4k",3,(IF(M6="2k",4,(IF(M6="1k",5,6)))))))),FALSE)</f>
        <v>5</v>
      </c>
      <c r="C24" s="81" t="s">
        <v>54</v>
      </c>
      <c r="D24" s="32">
        <f>VLOOKUP(C12,Data!E3:G12,2,FALSE)</f>
        <v>26</v>
      </c>
      <c r="E24" s="26"/>
      <c r="F24" s="26"/>
      <c r="G24" s="26"/>
      <c r="H24" s="26"/>
      <c r="I24" s="36"/>
      <c r="J24" s="36"/>
      <c r="P24" s="59" t="s">
        <v>37</v>
      </c>
    </row>
    <row r="25" spans="1:16" x14ac:dyDescent="0.2">
      <c r="A25" s="81" t="s">
        <v>0</v>
      </c>
      <c r="B25" s="32">
        <f>VLOOKUP(C9,Data!A3:D10,(IF(C11="Phones",2,3)),FALSE)</f>
        <v>-9</v>
      </c>
      <c r="C25" s="81" t="s">
        <v>38</v>
      </c>
      <c r="D25" s="32">
        <f>C15</f>
        <v>0</v>
      </c>
      <c r="E25" s="26"/>
      <c r="F25" s="26"/>
      <c r="G25" s="26"/>
      <c r="H25" s="26"/>
      <c r="I25" s="36"/>
      <c r="J25" s="36"/>
      <c r="P25" s="59" t="s">
        <v>48</v>
      </c>
    </row>
    <row r="26" spans="1:16" x14ac:dyDescent="0.2">
      <c r="A26" s="81" t="s">
        <v>40</v>
      </c>
      <c r="B26" s="82">
        <f>VLOOKUP(C13,Data!X3:AC12,(IF(M6="Wband",2,(IF(M6="4k",3,(IF(M6="2k",4,(IF(M6="1k",5,6)))))))),FALSE)</f>
        <v>25</v>
      </c>
      <c r="C26" s="81" t="s">
        <v>56</v>
      </c>
      <c r="D26" s="32">
        <f>VLOOKUP(C12,Data!H3:K12,(IF(C10="Phones",2,(IF(C10="Insert",3,4)))),FALSE)</f>
        <v>40</v>
      </c>
      <c r="E26" s="31"/>
      <c r="F26" s="26"/>
      <c r="G26" s="26"/>
      <c r="H26" s="26"/>
      <c r="I26" s="36"/>
      <c r="J26" s="36"/>
    </row>
    <row r="27" spans="1:16" x14ac:dyDescent="0.2">
      <c r="A27" s="81" t="s">
        <v>42</v>
      </c>
      <c r="B27" s="32">
        <f>C17+C20-(VLOOKUP(C12,Data!AG3:AH12,2,FALSE))</f>
        <v>-50</v>
      </c>
      <c r="C27" s="81" t="s">
        <v>57</v>
      </c>
      <c r="D27" s="32">
        <f>VLOOKUP(C12,Data!H3:K12,(IF(C11="Phones",2,3)),FALSE)</f>
        <v>40</v>
      </c>
      <c r="E27" s="26"/>
      <c r="F27" s="26"/>
      <c r="G27" s="26"/>
      <c r="H27" s="26"/>
      <c r="I27" s="34"/>
    </row>
    <row r="28" spans="1:16" x14ac:dyDescent="0.2">
      <c r="A28" s="81" t="s">
        <v>41</v>
      </c>
      <c r="B28" s="32">
        <f>B27-F20</f>
        <v>-90</v>
      </c>
      <c r="C28" s="81" t="s">
        <v>58</v>
      </c>
      <c r="D28" s="32">
        <f>VLOOKUP(C13,Data!L3:Q12,(IF(C12="Click",2,(IF(C12="4k tone",3,(IF(C12="2k tone",4,(IF(C12="1k tone",5,6)))))))),FALSE)</f>
        <v>0</v>
      </c>
      <c r="E28" s="26"/>
      <c r="F28" s="26"/>
      <c r="G28" s="26"/>
      <c r="H28" s="26"/>
    </row>
    <row r="29" spans="1:16" x14ac:dyDescent="0.2">
      <c r="A29" s="81"/>
      <c r="B29" s="83"/>
      <c r="C29" s="81" t="s">
        <v>45</v>
      </c>
      <c r="D29" s="82">
        <f>(I20+B25+G20-D27-D28)</f>
        <v>-79</v>
      </c>
      <c r="E29" s="26"/>
      <c r="F29" s="26"/>
      <c r="G29" s="26"/>
      <c r="H29" s="26"/>
    </row>
    <row r="30" spans="1:16" x14ac:dyDescent="0.2">
      <c r="A30" s="81"/>
      <c r="B30" s="83"/>
      <c r="C30" s="33"/>
      <c r="D30" s="33"/>
      <c r="E30" s="26"/>
      <c r="F30" s="26"/>
      <c r="G30" s="26"/>
      <c r="H30" s="26"/>
    </row>
    <row r="31" spans="1:16" x14ac:dyDescent="0.2">
      <c r="A31" s="49" t="s">
        <v>18</v>
      </c>
    </row>
    <row r="32" spans="1:16" x14ac:dyDescent="0.2">
      <c r="A32" s="47"/>
    </row>
    <row r="33" spans="1:1" x14ac:dyDescent="0.2">
      <c r="A33" s="47"/>
    </row>
    <row r="34" spans="1:1" x14ac:dyDescent="0.2">
      <c r="A34" s="47"/>
    </row>
  </sheetData>
  <sheetProtection algorithmName="SHA-512" hashValue="7QeZJIkv7ldJBJBAc4bHdeCjf3ECs9U19oUVWHQGSQ6tZnkgH913kknxBoTQkTxh/gDJZ2rmeOUNul3lVM7BgA==" saltValue="m980Cln4FERv27k+X7ku/w==" spinCount="100000" sheet="1" objects="1" scenarios="1" selectLockedCells="1" selectUnlockedCells="1"/>
  <mergeCells count="25">
    <mergeCell ref="A17:B17"/>
    <mergeCell ref="C17:D17"/>
    <mergeCell ref="E17:F17"/>
    <mergeCell ref="I17:J17"/>
    <mergeCell ref="A15:B15"/>
    <mergeCell ref="C15:D15"/>
    <mergeCell ref="G15:H15"/>
    <mergeCell ref="I15:J15"/>
    <mergeCell ref="A16:B16"/>
    <mergeCell ref="C16:D16"/>
    <mergeCell ref="A14:B14"/>
    <mergeCell ref="C14:D14"/>
    <mergeCell ref="G8:J8"/>
    <mergeCell ref="A9:B9"/>
    <mergeCell ref="C9:D9"/>
    <mergeCell ref="A10:B10"/>
    <mergeCell ref="C10:D10"/>
    <mergeCell ref="G10:J11"/>
    <mergeCell ref="A11:B11"/>
    <mergeCell ref="C11:D11"/>
    <mergeCell ref="A12:B12"/>
    <mergeCell ref="C12:D12"/>
    <mergeCell ref="G12:J13"/>
    <mergeCell ref="A13:B13"/>
    <mergeCell ref="C13:D13"/>
  </mergeCells>
  <conditionalFormatting sqref="C17:D17">
    <cfRule type="expression" dxfId="10" priority="10" stopIfTrue="1">
      <formula>IF(C13&gt;"&gt;24",C17&gt;G9,FALSE)</formula>
    </cfRule>
  </conditionalFormatting>
  <conditionalFormatting sqref="G15:H15">
    <cfRule type="expression" dxfId="9" priority="3" stopIfTrue="1">
      <formula>IF(C13&gt;"&gt;24",C17&gt;G9,FALSE)</formula>
    </cfRule>
  </conditionalFormatting>
  <conditionalFormatting sqref="G16:H16">
    <cfRule type="expression" dxfId="8" priority="4" stopIfTrue="1">
      <formula>IF(C16&gt;"&gt;24",C18&gt;G10,FALSE)</formula>
    </cfRule>
  </conditionalFormatting>
  <conditionalFormatting sqref="G8:J8">
    <cfRule type="expression" dxfId="7" priority="2" stopIfTrue="1">
      <formula>IF(E23&gt;100,TRUE,FALSE)</formula>
    </cfRule>
  </conditionalFormatting>
  <conditionalFormatting sqref="G10:J11">
    <cfRule type="expression" dxfId="6" priority="8" stopIfTrue="1">
      <formula>D29&gt;(C17+C20-E14+D23-10)</formula>
    </cfRule>
    <cfRule type="expression" dxfId="5" priority="9" stopIfTrue="1">
      <formula>D29&gt;(C17+C20-E14+D23-20)</formula>
    </cfRule>
  </conditionalFormatting>
  <conditionalFormatting sqref="G12:J14">
    <cfRule type="expression" dxfId="4" priority="7" stopIfTrue="1">
      <formula>IF(C13&gt;"&gt;24",C17&gt;G9,FALSE)</formula>
    </cfRule>
  </conditionalFormatting>
  <conditionalFormatting sqref="I15:J15">
    <cfRule type="expression" dxfId="3" priority="5" stopIfTrue="1">
      <formula>IF(C13&gt;"&gt;24",C17&gt;G9,FALSE)</formula>
    </cfRule>
  </conditionalFormatting>
  <conditionalFormatting sqref="I16:J16">
    <cfRule type="expression" dxfId="2" priority="6" stopIfTrue="1">
      <formula>IF(C16&gt;"&gt;24",C18&gt;G10,FALSE)</formula>
    </cfRule>
  </conditionalFormatting>
  <conditionalFormatting sqref="I17:J17">
    <cfRule type="cellIs" dxfId="1" priority="11" stopIfTrue="1" operator="equal">
      <formula>"Masking Needed"</formula>
    </cfRule>
    <cfRule type="cellIs" dxfId="0" priority="12" stopIfTrue="1" operator="equal">
      <formula>"No need to mask"</formula>
    </cfRule>
  </conditionalFormatting>
  <dataValidations count="2">
    <dataValidation type="list" allowBlank="1" showInputMessage="1" showErrorMessage="1" sqref="C12:D12" xr:uid="{00000000-0002-0000-0400-000000000000}">
      <formula1>$K$7:$K$16</formula1>
    </dataValidation>
    <dataValidation type="list" allowBlank="1" showInputMessage="1" showErrorMessage="1" sqref="C9:D9" xr:uid="{00000000-0002-0000-0400-000001000000}">
      <formula1>P19:P26</formula1>
    </dataValidation>
  </dataValidations>
  <pageMargins left="0.75" right="0.75" top="1" bottom="1" header="0.5" footer="0.5"/>
  <pageSetup paperSize="9" orientation="portrait"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16"/>
  <sheetViews>
    <sheetView showGridLines="0" showRowColHeaders="0" workbookViewId="0">
      <selection activeCell="A8" sqref="A8"/>
    </sheetView>
  </sheetViews>
  <sheetFormatPr defaultRowHeight="12.75" x14ac:dyDescent="0.2"/>
  <sheetData>
    <row r="1" spans="1:6" x14ac:dyDescent="0.2">
      <c r="A1" s="26" t="s">
        <v>10</v>
      </c>
    </row>
    <row r="2" spans="1:6" x14ac:dyDescent="0.2">
      <c r="A2" s="27" t="s">
        <v>157</v>
      </c>
    </row>
    <row r="3" spans="1:6" x14ac:dyDescent="0.2">
      <c r="A3" s="143" t="s">
        <v>134</v>
      </c>
    </row>
    <row r="4" spans="1:6" x14ac:dyDescent="0.2">
      <c r="A4" s="52" t="s">
        <v>135</v>
      </c>
    </row>
    <row r="5" spans="1:6" x14ac:dyDescent="0.2">
      <c r="A5" s="26" t="s">
        <v>155</v>
      </c>
    </row>
    <row r="6" spans="1:6" x14ac:dyDescent="0.2">
      <c r="A6" s="26" t="s">
        <v>44</v>
      </c>
    </row>
    <row r="7" spans="1:6" x14ac:dyDescent="0.2">
      <c r="A7" s="26" t="s">
        <v>46</v>
      </c>
    </row>
    <row r="8" spans="1:6" x14ac:dyDescent="0.2">
      <c r="A8" s="26" t="s">
        <v>156</v>
      </c>
    </row>
    <row r="9" spans="1:6" x14ac:dyDescent="0.2">
      <c r="A9" s="52"/>
    </row>
    <row r="10" spans="1:6" x14ac:dyDescent="0.2">
      <c r="A10" s="52"/>
    </row>
    <row r="11" spans="1:6" x14ac:dyDescent="0.2">
      <c r="A11" s="27"/>
    </row>
    <row r="12" spans="1:6" x14ac:dyDescent="0.2">
      <c r="A12" s="27" t="s">
        <v>17</v>
      </c>
    </row>
    <row r="14" spans="1:6" x14ac:dyDescent="0.2">
      <c r="A14" t="s">
        <v>83</v>
      </c>
    </row>
    <row r="15" spans="1:6" x14ac:dyDescent="0.2">
      <c r="A15" t="s">
        <v>96</v>
      </c>
    </row>
    <row r="16" spans="1:6" x14ac:dyDescent="0.2">
      <c r="A16" s="217"/>
      <c r="B16" s="217"/>
      <c r="C16" s="217"/>
      <c r="D16" s="217"/>
      <c r="E16" s="217"/>
      <c r="F16" s="217"/>
    </row>
  </sheetData>
  <sheetProtection password="C0A4" sheet="1" objects="1" scenarios="1" selectLockedCells="1" selectUnlockedCells="1"/>
  <mergeCells count="1">
    <mergeCell ref="A16:F16"/>
  </mergeCells>
  <phoneticPr fontId="3" type="noConversion"/>
  <pageMargins left="0.75" right="0.75" top="1" bottom="1" header="0.5" footer="0.5"/>
  <pageSetup paperSize="9" orientation="portrait" verticalDpi="0" r:id="rId1"/>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H26"/>
  <sheetViews>
    <sheetView showRowColHeaders="0" zoomScaleNormal="100" workbookViewId="0">
      <selection activeCell="B10" sqref="B10"/>
    </sheetView>
  </sheetViews>
  <sheetFormatPr defaultRowHeight="12.75" x14ac:dyDescent="0.2"/>
  <cols>
    <col min="1" max="1" width="19.5703125" bestFit="1" customWidth="1"/>
    <col min="2" max="2" width="10.5703125" bestFit="1" customWidth="1"/>
    <col min="3" max="3" width="10.5703125" customWidth="1"/>
    <col min="4" max="4" width="9.7109375" bestFit="1" customWidth="1"/>
    <col min="5" max="5" width="12" bestFit="1" customWidth="1"/>
    <col min="8" max="8" width="12" bestFit="1" customWidth="1"/>
    <col min="9" max="9" width="11.5703125" bestFit="1" customWidth="1"/>
    <col min="10" max="10" width="10.85546875" bestFit="1" customWidth="1"/>
    <col min="11" max="11" width="8.5703125" customWidth="1"/>
    <col min="12" max="12" width="21.7109375" bestFit="1" customWidth="1"/>
    <col min="13" max="13" width="7.42578125" bestFit="1" customWidth="1"/>
    <col min="14" max="16" width="6.42578125" bestFit="1" customWidth="1"/>
    <col min="17" max="17" width="7.42578125" bestFit="1" customWidth="1"/>
    <col min="18" max="18" width="21.7109375" bestFit="1" customWidth="1"/>
    <col min="19" max="19" width="7.42578125" bestFit="1" customWidth="1"/>
    <col min="20" max="22" width="6.42578125" bestFit="1" customWidth="1"/>
    <col min="23" max="23" width="7.42578125" bestFit="1" customWidth="1"/>
    <col min="24" max="24" width="21.7109375" bestFit="1" customWidth="1"/>
    <col min="25" max="25" width="7.42578125" bestFit="1" customWidth="1"/>
    <col min="26" max="28" width="6.42578125" bestFit="1" customWidth="1"/>
    <col min="29" max="29" width="7.42578125" bestFit="1" customWidth="1"/>
    <col min="30" max="30" width="12" bestFit="1" customWidth="1"/>
    <col min="33" max="33" width="12" bestFit="1" customWidth="1"/>
  </cols>
  <sheetData>
    <row r="1" spans="1:34" ht="26.25" customHeight="1" thickBot="1" x14ac:dyDescent="0.25">
      <c r="A1" s="218" t="s">
        <v>11</v>
      </c>
      <c r="B1" s="219"/>
      <c r="C1" s="219"/>
      <c r="D1" s="219"/>
      <c r="E1" s="218" t="s">
        <v>137</v>
      </c>
      <c r="F1" s="219"/>
      <c r="G1" s="232"/>
      <c r="H1" s="218" t="s">
        <v>59</v>
      </c>
      <c r="I1" s="219"/>
      <c r="J1" s="219"/>
      <c r="K1" s="232"/>
      <c r="L1" s="218" t="s">
        <v>60</v>
      </c>
      <c r="M1" s="219"/>
      <c r="N1" s="219"/>
      <c r="O1" s="219"/>
      <c r="P1" s="219"/>
      <c r="Q1" s="232"/>
      <c r="R1" s="219" t="s">
        <v>24</v>
      </c>
      <c r="S1" s="219"/>
      <c r="T1" s="219"/>
      <c r="U1" s="219"/>
      <c r="V1" s="219"/>
      <c r="W1" s="219"/>
      <c r="X1" s="218" t="s">
        <v>130</v>
      </c>
      <c r="Y1" s="219"/>
      <c r="Z1" s="219"/>
      <c r="AA1" s="219"/>
      <c r="AB1" s="219"/>
      <c r="AC1" s="219"/>
      <c r="AD1" s="225" t="s">
        <v>20</v>
      </c>
      <c r="AE1" s="243"/>
      <c r="AF1" s="226"/>
      <c r="AG1" s="225" t="s">
        <v>66</v>
      </c>
      <c r="AH1" s="226"/>
    </row>
    <row r="2" spans="1:34" ht="14.25" x14ac:dyDescent="0.25">
      <c r="A2" s="29" t="s">
        <v>12</v>
      </c>
      <c r="B2" s="8" t="s">
        <v>13</v>
      </c>
      <c r="C2" s="8" t="s">
        <v>33</v>
      </c>
      <c r="D2" s="8" t="s">
        <v>32</v>
      </c>
      <c r="E2" s="38" t="s">
        <v>15</v>
      </c>
      <c r="F2" s="24" t="s">
        <v>50</v>
      </c>
      <c r="G2" s="24" t="s">
        <v>51</v>
      </c>
      <c r="H2" s="29" t="s">
        <v>15</v>
      </c>
      <c r="I2" s="8" t="s">
        <v>61</v>
      </c>
      <c r="J2" s="8" t="s">
        <v>62</v>
      </c>
      <c r="K2" s="9" t="s">
        <v>63</v>
      </c>
      <c r="L2" s="13" t="s">
        <v>16</v>
      </c>
      <c r="M2" s="125" t="s">
        <v>73</v>
      </c>
      <c r="N2" s="24" t="s">
        <v>70</v>
      </c>
      <c r="O2" s="24" t="s">
        <v>71</v>
      </c>
      <c r="P2" s="24" t="s">
        <v>72</v>
      </c>
      <c r="Q2" s="25">
        <v>500</v>
      </c>
      <c r="R2" s="8" t="s">
        <v>16</v>
      </c>
      <c r="S2" s="29" t="s">
        <v>73</v>
      </c>
      <c r="T2" s="8" t="s">
        <v>70</v>
      </c>
      <c r="U2" s="8" t="s">
        <v>71</v>
      </c>
      <c r="V2" s="8" t="s">
        <v>72</v>
      </c>
      <c r="W2" s="9">
        <v>500</v>
      </c>
      <c r="X2" s="10" t="s">
        <v>16</v>
      </c>
      <c r="Y2" s="125" t="s">
        <v>73</v>
      </c>
      <c r="Z2" s="24" t="s">
        <v>70</v>
      </c>
      <c r="AA2" s="24" t="s">
        <v>71</v>
      </c>
      <c r="AB2" s="24" t="s">
        <v>72</v>
      </c>
      <c r="AC2" s="25">
        <v>500</v>
      </c>
      <c r="AD2" s="29" t="s">
        <v>15</v>
      </c>
      <c r="AE2" s="8" t="s">
        <v>22</v>
      </c>
      <c r="AF2" s="9" t="s">
        <v>21</v>
      </c>
      <c r="AG2" s="41" t="s">
        <v>15</v>
      </c>
      <c r="AH2" s="42" t="s">
        <v>67</v>
      </c>
    </row>
    <row r="3" spans="1:34" x14ac:dyDescent="0.2">
      <c r="A3" s="2" t="s">
        <v>123</v>
      </c>
      <c r="B3" s="3">
        <v>21</v>
      </c>
      <c r="C3" s="3">
        <v>19</v>
      </c>
      <c r="D3" s="3">
        <v>28</v>
      </c>
      <c r="E3" s="123" t="str">
        <f>Calculator!K7</f>
        <v>Click</v>
      </c>
      <c r="F3" s="124">
        <v>33</v>
      </c>
      <c r="G3" s="124">
        <v>18</v>
      </c>
      <c r="H3" s="133" t="str">
        <f>Calculator!K7</f>
        <v>Click</v>
      </c>
      <c r="I3" s="132">
        <v>38</v>
      </c>
      <c r="J3" s="132">
        <v>45</v>
      </c>
      <c r="K3" s="134">
        <v>0</v>
      </c>
      <c r="L3" s="17" t="s">
        <v>25</v>
      </c>
      <c r="M3" s="126">
        <v>20</v>
      </c>
      <c r="N3" s="14">
        <v>20</v>
      </c>
      <c r="O3" s="14">
        <v>10</v>
      </c>
      <c r="P3" s="14">
        <v>0</v>
      </c>
      <c r="Q3" s="11">
        <v>0</v>
      </c>
      <c r="R3" s="40" t="s">
        <v>25</v>
      </c>
      <c r="S3" s="2">
        <v>10</v>
      </c>
      <c r="T3" s="3">
        <v>10</v>
      </c>
      <c r="U3" s="3">
        <v>5</v>
      </c>
      <c r="V3" s="3">
        <v>5</v>
      </c>
      <c r="W3" s="4">
        <v>5</v>
      </c>
      <c r="X3" s="16" t="s">
        <v>25</v>
      </c>
      <c r="Y3" s="126">
        <v>12</v>
      </c>
      <c r="Z3" s="14">
        <v>10</v>
      </c>
      <c r="AA3" s="14">
        <v>5</v>
      </c>
      <c r="AB3" s="14">
        <v>20</v>
      </c>
      <c r="AC3" s="11">
        <v>25</v>
      </c>
      <c r="AD3" s="133" t="str">
        <f>Calculator!K7</f>
        <v>Click</v>
      </c>
      <c r="AE3" s="132">
        <v>100</v>
      </c>
      <c r="AF3" s="134">
        <v>85</v>
      </c>
      <c r="AG3" s="128" t="str">
        <f>Calculator!K7</f>
        <v>Click</v>
      </c>
      <c r="AH3" s="129">
        <v>5</v>
      </c>
    </row>
    <row r="4" spans="1:34" x14ac:dyDescent="0.2">
      <c r="A4" s="2" t="s">
        <v>36</v>
      </c>
      <c r="B4" s="3">
        <v>0</v>
      </c>
      <c r="C4" s="3">
        <v>-9</v>
      </c>
      <c r="D4" s="3">
        <v>0</v>
      </c>
      <c r="E4" s="16" t="str">
        <f>Calculator!K8</f>
        <v>4k tone</v>
      </c>
      <c r="F4" s="137">
        <v>25</v>
      </c>
      <c r="G4" s="137">
        <v>10</v>
      </c>
      <c r="H4" s="53" t="str">
        <f>Calculator!K8</f>
        <v>4k tone</v>
      </c>
      <c r="I4" s="3">
        <v>42</v>
      </c>
      <c r="J4" s="3">
        <v>54</v>
      </c>
      <c r="K4" s="4">
        <v>0</v>
      </c>
      <c r="L4" s="17" t="s">
        <v>26</v>
      </c>
      <c r="M4" s="126">
        <v>20</v>
      </c>
      <c r="N4" s="14">
        <v>20</v>
      </c>
      <c r="O4" s="14">
        <v>10</v>
      </c>
      <c r="P4" s="14">
        <v>0</v>
      </c>
      <c r="Q4" s="11">
        <v>0</v>
      </c>
      <c r="R4" s="40" t="s">
        <v>26</v>
      </c>
      <c r="S4" s="2">
        <v>10</v>
      </c>
      <c r="T4" s="3">
        <v>10</v>
      </c>
      <c r="U4" s="3">
        <v>5</v>
      </c>
      <c r="V4" s="3">
        <v>5</v>
      </c>
      <c r="W4" s="4">
        <v>5</v>
      </c>
      <c r="X4" s="16" t="s">
        <v>26</v>
      </c>
      <c r="Y4" s="126">
        <v>10</v>
      </c>
      <c r="Z4" s="14">
        <v>10</v>
      </c>
      <c r="AA4" s="14">
        <v>5</v>
      </c>
      <c r="AB4" s="14">
        <v>20</v>
      </c>
      <c r="AC4" s="11">
        <v>25</v>
      </c>
      <c r="AD4" s="53" t="str">
        <f>Calculator!K8</f>
        <v>4k tone</v>
      </c>
      <c r="AE4" s="3">
        <v>115</v>
      </c>
      <c r="AF4" s="4">
        <v>95</v>
      </c>
      <c r="AG4" s="54" t="str">
        <f>Calculator!K8</f>
        <v>4k tone</v>
      </c>
      <c r="AH4" s="154">
        <v>25</v>
      </c>
    </row>
    <row r="5" spans="1:34" x14ac:dyDescent="0.2">
      <c r="A5" s="2" t="s">
        <v>124</v>
      </c>
      <c r="B5" s="3">
        <v>0</v>
      </c>
      <c r="C5" s="3">
        <v>-9</v>
      </c>
      <c r="D5" s="3">
        <v>0</v>
      </c>
      <c r="E5" s="16" t="str">
        <f>Calculator!K9</f>
        <v>2k tone</v>
      </c>
      <c r="F5" s="137">
        <v>26</v>
      </c>
      <c r="G5" s="137">
        <v>6</v>
      </c>
      <c r="H5" s="53" t="str">
        <f>Calculator!K9</f>
        <v>2k tone</v>
      </c>
      <c r="I5" s="3">
        <v>35</v>
      </c>
      <c r="J5" s="3">
        <v>44</v>
      </c>
      <c r="K5" s="4">
        <v>0</v>
      </c>
      <c r="L5" s="17" t="s">
        <v>27</v>
      </c>
      <c r="M5" s="126">
        <v>20</v>
      </c>
      <c r="N5" s="14">
        <v>20</v>
      </c>
      <c r="O5" s="14">
        <v>10</v>
      </c>
      <c r="P5" s="14">
        <v>0</v>
      </c>
      <c r="Q5" s="11">
        <v>0</v>
      </c>
      <c r="R5" s="40" t="s">
        <v>27</v>
      </c>
      <c r="S5" s="2">
        <v>10</v>
      </c>
      <c r="T5" s="3">
        <v>10</v>
      </c>
      <c r="U5" s="3">
        <v>5</v>
      </c>
      <c r="V5" s="3">
        <v>5</v>
      </c>
      <c r="W5" s="4">
        <v>5</v>
      </c>
      <c r="X5" s="16" t="s">
        <v>27</v>
      </c>
      <c r="Y5" s="126">
        <v>8</v>
      </c>
      <c r="Z5" s="14">
        <v>10</v>
      </c>
      <c r="AA5" s="14">
        <v>5</v>
      </c>
      <c r="AB5" s="14">
        <v>20</v>
      </c>
      <c r="AC5" s="11">
        <v>25</v>
      </c>
      <c r="AD5" s="53" t="str">
        <f>Calculator!K9</f>
        <v>2k tone</v>
      </c>
      <c r="AE5" s="3">
        <v>120</v>
      </c>
      <c r="AF5" s="4">
        <v>100</v>
      </c>
      <c r="AG5" s="54" t="str">
        <f>Calculator!K9</f>
        <v>2k tone</v>
      </c>
      <c r="AH5" s="154">
        <v>20</v>
      </c>
    </row>
    <row r="6" spans="1:34" x14ac:dyDescent="0.2">
      <c r="A6" s="2" t="s">
        <v>14</v>
      </c>
      <c r="B6" s="3">
        <v>0</v>
      </c>
      <c r="C6" s="149">
        <v>0</v>
      </c>
      <c r="D6" s="3">
        <v>9</v>
      </c>
      <c r="E6" s="16" t="str">
        <f>Calculator!K10</f>
        <v>1k tone</v>
      </c>
      <c r="F6" s="137">
        <v>27</v>
      </c>
      <c r="G6" s="137">
        <v>12</v>
      </c>
      <c r="H6" s="53" t="str">
        <f>Calculator!K10</f>
        <v>1k tone</v>
      </c>
      <c r="I6" s="3">
        <v>37</v>
      </c>
      <c r="J6" s="3">
        <v>46</v>
      </c>
      <c r="K6" s="4">
        <v>0</v>
      </c>
      <c r="L6" s="17" t="s">
        <v>28</v>
      </c>
      <c r="M6" s="126">
        <v>20</v>
      </c>
      <c r="N6" s="14">
        <v>20</v>
      </c>
      <c r="O6" s="14">
        <v>10</v>
      </c>
      <c r="P6" s="14">
        <v>0</v>
      </c>
      <c r="Q6" s="11">
        <v>0</v>
      </c>
      <c r="R6" s="40" t="s">
        <v>28</v>
      </c>
      <c r="S6" s="2">
        <v>10</v>
      </c>
      <c r="T6" s="3">
        <v>10</v>
      </c>
      <c r="U6" s="3">
        <v>5</v>
      </c>
      <c r="V6" s="3">
        <v>5</v>
      </c>
      <c r="W6" s="4">
        <v>5</v>
      </c>
      <c r="X6" s="16" t="s">
        <v>28</v>
      </c>
      <c r="Y6" s="126">
        <v>6</v>
      </c>
      <c r="Z6" s="14">
        <v>10</v>
      </c>
      <c r="AA6" s="14">
        <v>5</v>
      </c>
      <c r="AB6" s="14">
        <v>20</v>
      </c>
      <c r="AC6" s="11">
        <v>25</v>
      </c>
      <c r="AD6" s="53" t="str">
        <f>Calculator!K10</f>
        <v>1k tone</v>
      </c>
      <c r="AE6" s="3">
        <v>120</v>
      </c>
      <c r="AF6" s="4">
        <v>100</v>
      </c>
      <c r="AG6" s="54" t="str">
        <f>Calculator!K10</f>
        <v>1k tone</v>
      </c>
      <c r="AH6" s="154">
        <v>25</v>
      </c>
    </row>
    <row r="7" spans="1:34" x14ac:dyDescent="0.2">
      <c r="A7" s="2" t="s">
        <v>125</v>
      </c>
      <c r="B7" s="3">
        <v>0</v>
      </c>
      <c r="C7" s="3">
        <v>-9</v>
      </c>
      <c r="D7" s="3">
        <v>0</v>
      </c>
      <c r="E7" s="16" t="str">
        <f>Calculator!K11</f>
        <v>500 tone</v>
      </c>
      <c r="F7" s="137">
        <v>26</v>
      </c>
      <c r="G7" s="137">
        <v>11</v>
      </c>
      <c r="H7" s="53" t="str">
        <f>Calculator!K11</f>
        <v>500 tone</v>
      </c>
      <c r="I7" s="3">
        <v>35</v>
      </c>
      <c r="J7" s="3">
        <v>40</v>
      </c>
      <c r="K7" s="4">
        <v>0</v>
      </c>
      <c r="L7" s="17" t="s">
        <v>29</v>
      </c>
      <c r="M7" s="126">
        <v>20</v>
      </c>
      <c r="N7" s="14">
        <v>20</v>
      </c>
      <c r="O7" s="14">
        <v>10</v>
      </c>
      <c r="P7" s="14">
        <v>0</v>
      </c>
      <c r="Q7" s="11">
        <v>0</v>
      </c>
      <c r="R7" s="40" t="s">
        <v>29</v>
      </c>
      <c r="S7" s="2">
        <v>10</v>
      </c>
      <c r="T7" s="3">
        <v>10</v>
      </c>
      <c r="U7" s="3">
        <v>5</v>
      </c>
      <c r="V7" s="3">
        <v>5</v>
      </c>
      <c r="W7" s="4">
        <v>5</v>
      </c>
      <c r="X7" s="16" t="s">
        <v>29</v>
      </c>
      <c r="Y7" s="126">
        <v>5</v>
      </c>
      <c r="Z7" s="14">
        <v>10</v>
      </c>
      <c r="AA7" s="14">
        <v>5</v>
      </c>
      <c r="AB7" s="14">
        <v>20</v>
      </c>
      <c r="AC7" s="11">
        <v>25</v>
      </c>
      <c r="AD7" s="53" t="str">
        <f>Calculator!K11</f>
        <v>500 tone</v>
      </c>
      <c r="AE7" s="3">
        <v>120</v>
      </c>
      <c r="AF7" s="4">
        <v>100</v>
      </c>
      <c r="AG7" s="54" t="str">
        <f>Calculator!K11</f>
        <v>500 tone</v>
      </c>
      <c r="AH7" s="154">
        <v>25</v>
      </c>
    </row>
    <row r="8" spans="1:34" ht="12.75" customHeight="1" x14ac:dyDescent="0.2">
      <c r="A8" s="2" t="s">
        <v>37</v>
      </c>
      <c r="B8" s="3">
        <v>0</v>
      </c>
      <c r="C8" s="3">
        <v>-9</v>
      </c>
      <c r="D8" s="3">
        <v>0</v>
      </c>
      <c r="E8" s="123" t="str">
        <f>Calculator!K12</f>
        <v>CE-Chirp</v>
      </c>
      <c r="F8" s="124">
        <v>33</v>
      </c>
      <c r="G8" s="124">
        <v>18</v>
      </c>
      <c r="H8" s="133" t="str">
        <f>Calculator!K12</f>
        <v>CE-Chirp</v>
      </c>
      <c r="I8" s="132">
        <v>38</v>
      </c>
      <c r="J8" s="132">
        <v>45</v>
      </c>
      <c r="K8" s="134">
        <v>0</v>
      </c>
      <c r="L8" s="17" t="s">
        <v>30</v>
      </c>
      <c r="M8" s="126">
        <v>20</v>
      </c>
      <c r="N8" s="14">
        <v>20</v>
      </c>
      <c r="O8" s="14">
        <v>10</v>
      </c>
      <c r="P8" s="14">
        <v>0</v>
      </c>
      <c r="Q8" s="11">
        <v>0</v>
      </c>
      <c r="R8" s="40" t="s">
        <v>30</v>
      </c>
      <c r="S8" s="2">
        <v>10</v>
      </c>
      <c r="T8" s="3">
        <v>10</v>
      </c>
      <c r="U8" s="3">
        <v>5</v>
      </c>
      <c r="V8" s="3">
        <v>5</v>
      </c>
      <c r="W8" s="4">
        <v>5</v>
      </c>
      <c r="X8" s="16" t="s">
        <v>30</v>
      </c>
      <c r="Y8" s="126">
        <v>3</v>
      </c>
      <c r="Z8" s="14">
        <v>10</v>
      </c>
      <c r="AA8" s="14">
        <v>5</v>
      </c>
      <c r="AB8" s="14">
        <v>20</v>
      </c>
      <c r="AC8" s="11">
        <v>25</v>
      </c>
      <c r="AD8" s="133" t="str">
        <f>Calculator!K12</f>
        <v>CE-Chirp</v>
      </c>
      <c r="AE8" s="132">
        <v>100</v>
      </c>
      <c r="AF8" s="134">
        <v>85</v>
      </c>
      <c r="AG8" s="128" t="str">
        <f>Calculator!K12</f>
        <v>CE-Chirp</v>
      </c>
      <c r="AH8" s="129">
        <v>0</v>
      </c>
    </row>
    <row r="9" spans="1:34" x14ac:dyDescent="0.2">
      <c r="A9" s="150"/>
      <c r="B9" s="150"/>
      <c r="C9" s="150"/>
      <c r="D9" s="150"/>
      <c r="E9" s="123" t="str">
        <f>Calculator!K13</f>
        <v>4k CE-Chirp</v>
      </c>
      <c r="F9" s="124">
        <v>28</v>
      </c>
      <c r="G9" s="124">
        <v>13</v>
      </c>
      <c r="H9" s="133" t="str">
        <f>Calculator!K13</f>
        <v>4k CE-Chirp</v>
      </c>
      <c r="I9" s="132">
        <v>42</v>
      </c>
      <c r="J9" s="132">
        <v>54</v>
      </c>
      <c r="K9" s="134">
        <v>0</v>
      </c>
      <c r="L9" s="17" t="s">
        <v>31</v>
      </c>
      <c r="M9" s="126">
        <v>15</v>
      </c>
      <c r="N9" s="14">
        <v>15</v>
      </c>
      <c r="O9" s="14">
        <v>0</v>
      </c>
      <c r="P9" s="14">
        <v>0</v>
      </c>
      <c r="Q9" s="11">
        <v>0</v>
      </c>
      <c r="R9" s="40" t="s">
        <v>31</v>
      </c>
      <c r="S9" s="2">
        <v>5</v>
      </c>
      <c r="T9" s="3">
        <v>5</v>
      </c>
      <c r="U9" s="3">
        <v>0</v>
      </c>
      <c r="V9" s="3">
        <v>0</v>
      </c>
      <c r="W9" s="4">
        <v>0</v>
      </c>
      <c r="X9" s="16" t="s">
        <v>31</v>
      </c>
      <c r="Y9" s="126">
        <v>0</v>
      </c>
      <c r="Z9" s="14">
        <v>5</v>
      </c>
      <c r="AA9" s="14">
        <v>0</v>
      </c>
      <c r="AB9" s="14">
        <v>15</v>
      </c>
      <c r="AC9" s="11">
        <v>20</v>
      </c>
      <c r="AD9" s="133" t="str">
        <f>Calculator!K13</f>
        <v>4k CE-Chirp</v>
      </c>
      <c r="AE9" s="132">
        <v>105</v>
      </c>
      <c r="AF9" s="134">
        <v>85</v>
      </c>
      <c r="AG9" s="128" t="str">
        <f>Calculator!K13</f>
        <v>4k CE-Chirp</v>
      </c>
      <c r="AH9" s="129">
        <v>5</v>
      </c>
    </row>
    <row r="10" spans="1:34" ht="12.75" customHeight="1" thickBot="1" x14ac:dyDescent="0.25">
      <c r="A10" s="5" t="s">
        <v>48</v>
      </c>
      <c r="B10" s="154"/>
      <c r="C10" s="154"/>
      <c r="D10" s="154"/>
      <c r="E10" s="152" t="str">
        <f>Calculator!K14</f>
        <v>2k CE-Chirp</v>
      </c>
      <c r="F10" s="124">
        <v>33</v>
      </c>
      <c r="G10" s="124">
        <v>13</v>
      </c>
      <c r="H10" s="133" t="str">
        <f>Calculator!K14</f>
        <v>2k CE-Chirp</v>
      </c>
      <c r="I10" s="131">
        <v>35</v>
      </c>
      <c r="J10" s="132">
        <v>44</v>
      </c>
      <c r="K10" s="134">
        <v>0</v>
      </c>
      <c r="L10" s="46" t="s">
        <v>69</v>
      </c>
      <c r="M10" s="126">
        <v>5</v>
      </c>
      <c r="N10" s="14">
        <v>15</v>
      </c>
      <c r="O10" s="14">
        <v>0</v>
      </c>
      <c r="P10" s="14">
        <v>0</v>
      </c>
      <c r="Q10" s="11">
        <v>0</v>
      </c>
      <c r="R10" s="45" t="s">
        <v>69</v>
      </c>
      <c r="S10" s="2">
        <v>5</v>
      </c>
      <c r="T10" s="3">
        <v>5</v>
      </c>
      <c r="U10" s="3">
        <v>0</v>
      </c>
      <c r="V10" s="3">
        <v>0</v>
      </c>
      <c r="W10" s="4">
        <v>0</v>
      </c>
      <c r="X10" s="43" t="s">
        <v>69</v>
      </c>
      <c r="Y10" s="126">
        <v>0</v>
      </c>
      <c r="Z10" s="14">
        <v>5</v>
      </c>
      <c r="AA10" s="14">
        <v>0</v>
      </c>
      <c r="AB10" s="14">
        <v>15</v>
      </c>
      <c r="AC10" s="11">
        <v>20</v>
      </c>
      <c r="AD10" s="133" t="str">
        <f>Calculator!K14</f>
        <v>2k CE-Chirp</v>
      </c>
      <c r="AE10" s="132">
        <v>110</v>
      </c>
      <c r="AF10" s="134">
        <v>95</v>
      </c>
      <c r="AG10" s="128" t="str">
        <f>Calculator!K14</f>
        <v>2k CE-Chirp</v>
      </c>
      <c r="AH10" s="129">
        <v>5</v>
      </c>
    </row>
    <row r="11" spans="1:34" ht="13.5" customHeight="1" x14ac:dyDescent="0.2">
      <c r="A11" s="235" t="s">
        <v>49</v>
      </c>
      <c r="B11" s="236"/>
      <c r="C11" s="236"/>
      <c r="D11" s="236"/>
      <c r="E11" s="123" t="str">
        <f>Calculator!K15</f>
        <v>1k CE-Chirp</v>
      </c>
      <c r="F11" s="124">
        <v>28</v>
      </c>
      <c r="G11" s="124">
        <v>13</v>
      </c>
      <c r="H11" s="133" t="str">
        <f>Calculator!K15</f>
        <v>1k CE-Chirp</v>
      </c>
      <c r="I11" s="132">
        <v>37</v>
      </c>
      <c r="J11" s="132">
        <v>46</v>
      </c>
      <c r="K11" s="134">
        <v>0</v>
      </c>
      <c r="L11" s="46" t="s">
        <v>94</v>
      </c>
      <c r="M11" s="126">
        <v>0</v>
      </c>
      <c r="N11" s="14">
        <v>0</v>
      </c>
      <c r="O11" s="14">
        <v>0</v>
      </c>
      <c r="P11" s="14">
        <v>0</v>
      </c>
      <c r="Q11" s="11">
        <v>0</v>
      </c>
      <c r="R11" s="45" t="s">
        <v>94</v>
      </c>
      <c r="S11" s="2">
        <v>0</v>
      </c>
      <c r="T11" s="3">
        <v>0</v>
      </c>
      <c r="U11" s="3">
        <v>0</v>
      </c>
      <c r="V11" s="3">
        <v>0</v>
      </c>
      <c r="W11" s="4">
        <v>0</v>
      </c>
      <c r="X11" s="43" t="s">
        <v>94</v>
      </c>
      <c r="Y11" s="126">
        <v>0</v>
      </c>
      <c r="Z11" s="14">
        <v>0</v>
      </c>
      <c r="AA11" s="14">
        <v>0</v>
      </c>
      <c r="AB11" s="14">
        <v>10</v>
      </c>
      <c r="AC11" s="11">
        <v>15</v>
      </c>
      <c r="AD11" s="133" t="str">
        <f>Calculator!K15</f>
        <v>1k CE-Chirp</v>
      </c>
      <c r="AE11" s="132">
        <v>115</v>
      </c>
      <c r="AF11" s="134">
        <v>100</v>
      </c>
      <c r="AG11" s="128" t="str">
        <f>Calculator!K15</f>
        <v>1k CE-Chirp</v>
      </c>
      <c r="AH11" s="129">
        <v>10</v>
      </c>
    </row>
    <row r="12" spans="1:34" ht="13.5" thickBot="1" x14ac:dyDescent="0.25">
      <c r="A12" s="237"/>
      <c r="B12" s="236"/>
      <c r="C12" s="236"/>
      <c r="D12" s="236"/>
      <c r="E12" s="123" t="str">
        <f>Calculator!K16</f>
        <v>500 CE-Chirp</v>
      </c>
      <c r="F12" s="124">
        <v>33</v>
      </c>
      <c r="G12" s="124">
        <v>18</v>
      </c>
      <c r="H12" s="133" t="str">
        <f>Calculator!K16</f>
        <v>500 CE-Chirp</v>
      </c>
      <c r="I12" s="135">
        <v>35</v>
      </c>
      <c r="J12" s="135">
        <v>40</v>
      </c>
      <c r="K12" s="136">
        <v>0</v>
      </c>
      <c r="L12" s="46" t="s">
        <v>68</v>
      </c>
      <c r="M12" s="127">
        <v>0</v>
      </c>
      <c r="N12" s="23">
        <v>0</v>
      </c>
      <c r="O12" s="23">
        <v>0</v>
      </c>
      <c r="P12" s="23">
        <v>0</v>
      </c>
      <c r="Q12" s="12">
        <v>0</v>
      </c>
      <c r="R12" s="45" t="s">
        <v>68</v>
      </c>
      <c r="S12" s="5">
        <v>0</v>
      </c>
      <c r="T12" s="6">
        <v>0</v>
      </c>
      <c r="U12" s="6">
        <v>0</v>
      </c>
      <c r="V12" s="6">
        <v>0</v>
      </c>
      <c r="W12" s="7">
        <v>0</v>
      </c>
      <c r="X12" s="43" t="s">
        <v>68</v>
      </c>
      <c r="Y12" s="127">
        <v>0</v>
      </c>
      <c r="Z12" s="23">
        <v>0</v>
      </c>
      <c r="AA12" s="23">
        <v>0</v>
      </c>
      <c r="AB12" s="23">
        <v>0</v>
      </c>
      <c r="AC12" s="12">
        <v>0</v>
      </c>
      <c r="AD12" s="133" t="str">
        <f>Calculator!K16</f>
        <v>500 CE-Chirp</v>
      </c>
      <c r="AE12" s="135">
        <v>110</v>
      </c>
      <c r="AF12" s="136">
        <v>100</v>
      </c>
      <c r="AG12" s="128" t="str">
        <f>Calculator!K16</f>
        <v>500 CE-Chirp</v>
      </c>
      <c r="AH12" s="130">
        <v>15</v>
      </c>
    </row>
    <row r="13" spans="1:34" ht="145.5" customHeight="1" thickBot="1" x14ac:dyDescent="0.25">
      <c r="A13" s="238"/>
      <c r="B13" s="239"/>
      <c r="C13" s="239"/>
      <c r="D13" s="240"/>
      <c r="E13" s="229" t="s">
        <v>153</v>
      </c>
      <c r="F13" s="241"/>
      <c r="G13" s="242"/>
      <c r="H13" s="220" t="s">
        <v>152</v>
      </c>
      <c r="I13" s="233"/>
      <c r="J13" s="233"/>
      <c r="K13" s="234"/>
      <c r="L13" s="229" t="s">
        <v>165</v>
      </c>
      <c r="M13" s="230"/>
      <c r="N13" s="230"/>
      <c r="O13" s="230"/>
      <c r="P13" s="230"/>
      <c r="Q13" s="231"/>
      <c r="R13" s="244" t="s">
        <v>151</v>
      </c>
      <c r="S13" s="221"/>
      <c r="T13" s="221"/>
      <c r="U13" s="221"/>
      <c r="V13" s="221"/>
      <c r="W13" s="221"/>
      <c r="X13" s="245" t="s">
        <v>133</v>
      </c>
      <c r="Y13" s="246"/>
      <c r="Z13" s="246"/>
      <c r="AA13" s="246"/>
      <c r="AB13" s="246"/>
      <c r="AC13" s="246"/>
      <c r="AD13" s="220" t="s">
        <v>148</v>
      </c>
      <c r="AE13" s="221"/>
      <c r="AF13" s="222"/>
      <c r="AG13" s="227" t="s">
        <v>149</v>
      </c>
      <c r="AH13" s="228"/>
    </row>
    <row r="14" spans="1:34" ht="12.75" customHeight="1" x14ac:dyDescent="0.2">
      <c r="H14" s="39"/>
      <c r="I14" s="39"/>
      <c r="J14" s="39"/>
      <c r="K14" s="39"/>
    </row>
    <row r="15" spans="1:34" x14ac:dyDescent="0.2">
      <c r="A15" t="s">
        <v>147</v>
      </c>
      <c r="H15" s="39"/>
      <c r="I15" s="39"/>
      <c r="J15" s="39"/>
      <c r="K15" s="39"/>
    </row>
    <row r="16" spans="1:34" ht="82.5" customHeight="1" x14ac:dyDescent="0.2">
      <c r="A16" s="224" t="s">
        <v>140</v>
      </c>
      <c r="B16" s="224"/>
      <c r="H16" s="39"/>
      <c r="I16" s="39"/>
      <c r="J16" s="39"/>
      <c r="K16" s="39"/>
      <c r="AG16" s="223" t="s">
        <v>150</v>
      </c>
      <c r="AH16" s="223"/>
    </row>
    <row r="17" spans="5:32" x14ac:dyDescent="0.2">
      <c r="H17" s="39"/>
      <c r="I17" s="39"/>
      <c r="J17" s="39"/>
      <c r="K17" s="39"/>
    </row>
    <row r="18" spans="5:32" x14ac:dyDescent="0.2">
      <c r="H18" s="39"/>
      <c r="I18" s="39"/>
      <c r="J18" s="39"/>
      <c r="K18" s="39"/>
    </row>
    <row r="19" spans="5:32" x14ac:dyDescent="0.2">
      <c r="AE19" s="34"/>
      <c r="AF19" s="34"/>
    </row>
    <row r="20" spans="5:32" x14ac:dyDescent="0.2">
      <c r="H20" s="37"/>
      <c r="I20" s="37"/>
      <c r="J20" s="37"/>
      <c r="K20" s="37"/>
      <c r="AE20" s="34"/>
      <c r="AF20" s="34"/>
    </row>
    <row r="21" spans="5:32" x14ac:dyDescent="0.2">
      <c r="H21" s="37"/>
      <c r="I21" s="37"/>
      <c r="J21" s="37"/>
      <c r="K21" s="37"/>
      <c r="AE21" s="34"/>
      <c r="AF21" s="34"/>
    </row>
    <row r="22" spans="5:32" x14ac:dyDescent="0.2">
      <c r="H22" s="37"/>
      <c r="I22" s="153"/>
      <c r="J22" s="153"/>
      <c r="K22" s="37"/>
      <c r="AE22" s="34"/>
      <c r="AF22" s="34"/>
    </row>
    <row r="23" spans="5:32" x14ac:dyDescent="0.2">
      <c r="E23" s="148"/>
      <c r="H23" s="37"/>
      <c r="I23" s="37"/>
      <c r="J23" s="37"/>
      <c r="K23" s="37"/>
    </row>
    <row r="24" spans="5:32" x14ac:dyDescent="0.2">
      <c r="E24" s="148"/>
      <c r="H24" s="37"/>
      <c r="I24" s="37"/>
      <c r="J24" s="37"/>
      <c r="K24" s="37"/>
    </row>
    <row r="25" spans="5:32" x14ac:dyDescent="0.2">
      <c r="E25" s="148"/>
      <c r="H25" s="37"/>
      <c r="I25" s="37"/>
      <c r="J25" s="37"/>
      <c r="K25" s="37"/>
    </row>
    <row r="26" spans="5:32" x14ac:dyDescent="0.2">
      <c r="H26" s="37"/>
      <c r="I26" s="37"/>
      <c r="J26" s="37"/>
    </row>
  </sheetData>
  <sheetProtection algorithmName="SHA-512" hashValue="ZMiFmN4Sd8CdTOOhALQMDoGu2xr1U4QoGTJZKQLLaw4sjuvxaP3YBOpKuwkTTP/vwtqKPSOMcJK9P0Eg6UW0dg==" saltValue="fndBdGCYYCJk58WzafWxqQ==" spinCount="100000" sheet="1" objects="1" scenarios="1" selectLockedCells="1"/>
  <mergeCells count="18">
    <mergeCell ref="X13:AC13"/>
    <mergeCell ref="R1:W1"/>
    <mergeCell ref="X1:AC1"/>
    <mergeCell ref="AD13:AF13"/>
    <mergeCell ref="AG16:AH16"/>
    <mergeCell ref="A16:B16"/>
    <mergeCell ref="AG1:AH1"/>
    <mergeCell ref="AG13:AH13"/>
    <mergeCell ref="L13:Q13"/>
    <mergeCell ref="H1:K1"/>
    <mergeCell ref="L1:Q1"/>
    <mergeCell ref="H13:K13"/>
    <mergeCell ref="A1:D1"/>
    <mergeCell ref="E1:G1"/>
    <mergeCell ref="A11:D13"/>
    <mergeCell ref="E13:G13"/>
    <mergeCell ref="AD1:AF1"/>
    <mergeCell ref="R13:W13"/>
  </mergeCells>
  <phoneticPr fontId="3" type="noConversion"/>
  <pageMargins left="0.75" right="0.75" top="1" bottom="1" header="0.5" footer="0.5"/>
  <pageSetup paperSize="9"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Calculator</vt:lpstr>
      <vt:lpstr>4k</vt:lpstr>
      <vt:lpstr>2k</vt:lpstr>
      <vt:lpstr>1k</vt:lpstr>
      <vt:lpstr>500</vt:lpstr>
      <vt:lpstr>Notes</vt:lpstr>
      <vt:lpstr>Data</vt:lpstr>
      <vt:lpstr>Calculator!Print_Area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Guy Lightfoot</dc:creator>
  <cp:lastModifiedBy>Guy Lightfoot</cp:lastModifiedBy>
  <dcterms:created xsi:type="dcterms:W3CDTF">2009-12-22T08:47:52Z</dcterms:created>
  <dcterms:modified xsi:type="dcterms:W3CDTF">2024-03-07T16:40:39Z</dcterms:modified>
</cp:coreProperties>
</file>